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cichon\Desktop\"/>
    </mc:Choice>
  </mc:AlternateContent>
  <xr:revisionPtr revIDLastSave="0" documentId="8_{45D9866E-A844-44DD-8C3A-E4D56A1F4F79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zr." sheetId="1" r:id="rId1"/>
    <sheet name="1sort" sheetId="14" r:id="rId2"/>
    <sheet name="2kob." sheetId="10" r:id="rId3"/>
    <sheet name="2sort" sheetId="15" r:id="rId4"/>
    <sheet name="3bezr. na wsi" sheetId="2" r:id="rId5"/>
    <sheet name="3sort" sheetId="18" r:id="rId6"/>
    <sheet name="4długot." sheetId="3" r:id="rId7"/>
    <sheet name="4sort" sheetId="19" r:id="rId8"/>
    <sheet name="5do 30 r.ż." sheetId="4" r:id="rId9"/>
    <sheet name="5sort" sheetId="20" r:id="rId10"/>
    <sheet name="6pow. 50 r.ż." sheetId="5" r:id="rId11"/>
    <sheet name="6sort" sheetId="21" r:id="rId12"/>
    <sheet name="7oferty p." sheetId="6" r:id="rId13"/>
    <sheet name="7sort" sheetId="22" r:id="rId14"/>
    <sheet name="8oferty s." sheetId="11" r:id="rId15"/>
    <sheet name="8sort" sheetId="23" r:id="rId16"/>
    <sheet name="9of st. k." sheetId="26" r:id="rId17"/>
    <sheet name="9sort" sheetId="27" r:id="rId18"/>
    <sheet name="K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28" l="1"/>
  <c r="C32" i="3"/>
  <c r="E29" i="6"/>
  <c r="D29" i="11"/>
  <c r="E27" i="1"/>
  <c r="F27" i="1" s="1"/>
  <c r="D28" i="3" l="1"/>
  <c r="N24" i="28"/>
  <c r="N30" i="28"/>
  <c r="N29" i="28"/>
  <c r="N28" i="28"/>
  <c r="N27" i="28"/>
  <c r="N26" i="28"/>
  <c r="N25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F7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6" i="28"/>
  <c r="X6" i="28"/>
  <c r="T6" i="28"/>
  <c r="X11" i="28"/>
  <c r="T11" i="28"/>
  <c r="Z6" i="28" l="1"/>
  <c r="P17" i="28"/>
  <c r="P12" i="28"/>
  <c r="Z11" i="28"/>
  <c r="P20" i="28"/>
  <c r="P6" i="28"/>
  <c r="D28" i="1"/>
  <c r="G28" i="1"/>
  <c r="S31" i="28" l="1"/>
  <c r="W31" i="28" l="1"/>
  <c r="C28" i="3"/>
  <c r="C28" i="5"/>
  <c r="H3" i="18"/>
  <c r="G3" i="18"/>
  <c r="F3" i="18"/>
  <c r="E3" i="18"/>
  <c r="D3" i="18"/>
  <c r="AI3" i="14" l="1"/>
  <c r="AE3" i="14"/>
  <c r="AF3" i="14"/>
  <c r="AJ3" i="14"/>
  <c r="E31" i="28"/>
  <c r="D28" i="10"/>
  <c r="E27" i="3" l="1"/>
  <c r="D24" i="2"/>
  <c r="X30" i="28" l="1"/>
  <c r="X29" i="28"/>
  <c r="X28" i="28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0" i="28"/>
  <c r="X9" i="28"/>
  <c r="X8" i="28"/>
  <c r="X7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2" i="28"/>
  <c r="Z12" i="28" s="1"/>
  <c r="E28" i="4" l="1"/>
  <c r="R31" i="28" l="1"/>
  <c r="L31" i="28"/>
  <c r="I31" i="28"/>
  <c r="H31" i="28"/>
  <c r="D31" i="28"/>
  <c r="F31" i="28" s="1"/>
  <c r="N31" i="28" l="1"/>
  <c r="J31" i="28"/>
  <c r="V31" i="28"/>
  <c r="X31" i="28" s="1"/>
  <c r="T30" i="28"/>
  <c r="Z30" i="28" s="1"/>
  <c r="T29" i="28"/>
  <c r="Z29" i="28" s="1"/>
  <c r="T28" i="28"/>
  <c r="Z28" i="28" s="1"/>
  <c r="T27" i="28"/>
  <c r="Z27" i="28" s="1"/>
  <c r="T26" i="28"/>
  <c r="Z26" i="28" s="1"/>
  <c r="T25" i="28"/>
  <c r="Z25" i="28" s="1"/>
  <c r="T24" i="28"/>
  <c r="Z24" i="28" s="1"/>
  <c r="T23" i="28"/>
  <c r="Z23" i="28" s="1"/>
  <c r="T22" i="28"/>
  <c r="Z22" i="28" s="1"/>
  <c r="T21" i="28"/>
  <c r="Z21" i="28" s="1"/>
  <c r="T20" i="28"/>
  <c r="Z20" i="28" s="1"/>
  <c r="T19" i="28"/>
  <c r="Z19" i="28" s="1"/>
  <c r="T18" i="28"/>
  <c r="Z18" i="28" s="1"/>
  <c r="T17" i="28"/>
  <c r="Z17" i="28" s="1"/>
  <c r="T16" i="28"/>
  <c r="Z16" i="28" s="1"/>
  <c r="T15" i="28"/>
  <c r="Z15" i="28" s="1"/>
  <c r="T14" i="28"/>
  <c r="Z14" i="28" s="1"/>
  <c r="T13" i="28"/>
  <c r="Z13" i="28" s="1"/>
  <c r="P11" i="28"/>
  <c r="T10" i="28"/>
  <c r="Z10" i="28" s="1"/>
  <c r="T9" i="28"/>
  <c r="Z9" i="28" s="1"/>
  <c r="T8" i="28"/>
  <c r="Z8" i="28" s="1"/>
  <c r="T7" i="28"/>
  <c r="Z7" i="28" s="1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AF17" i="28" l="1"/>
  <c r="AF19" i="28"/>
  <c r="AF8" i="28"/>
  <c r="AF26" i="28"/>
  <c r="AF7" i="28"/>
  <c r="AF11" i="28"/>
  <c r="AF6" i="28"/>
  <c r="AF12" i="28"/>
  <c r="AF9" i="28"/>
  <c r="AF24" i="28"/>
  <c r="AF28" i="28"/>
  <c r="AF20" i="28"/>
  <c r="AF22" i="28"/>
  <c r="AF23" i="28"/>
  <c r="AF13" i="28"/>
  <c r="AF14" i="28"/>
  <c r="AF15" i="28"/>
  <c r="AF29" i="28"/>
  <c r="AF21" i="28"/>
  <c r="AF10" i="28"/>
  <c r="AF25" i="28"/>
  <c r="AF27" i="28"/>
  <c r="AF16" i="28"/>
  <c r="AF18" i="28"/>
  <c r="AF30" i="28"/>
  <c r="T31" i="28"/>
  <c r="Z31" i="28" s="1"/>
  <c r="P8" i="28"/>
  <c r="P7" i="28"/>
  <c r="P19" i="28"/>
  <c r="P10" i="28"/>
  <c r="P22" i="28"/>
  <c r="P18" i="28"/>
  <c r="P16" i="28"/>
  <c r="P24" i="28"/>
  <c r="P15" i="28"/>
  <c r="P27" i="28"/>
  <c r="P9" i="28"/>
  <c r="P21" i="28"/>
  <c r="P30" i="28"/>
  <c r="P29" i="28"/>
  <c r="P13" i="28"/>
  <c r="P25" i="28"/>
  <c r="P23" i="28"/>
  <c r="P28" i="28"/>
  <c r="P14" i="28"/>
  <c r="P26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AH6" i="28" l="1"/>
  <c r="AH24" i="28"/>
  <c r="AH21" i="28"/>
  <c r="AH14" i="28"/>
  <c r="AH8" i="28"/>
  <c r="AH23" i="28"/>
  <c r="AG21" i="28"/>
  <c r="AG14" i="28"/>
  <c r="AG8" i="28"/>
  <c r="AG22" i="28"/>
  <c r="AG30" i="28"/>
  <c r="AH20" i="28"/>
  <c r="AH13" i="28"/>
  <c r="AH7" i="28"/>
  <c r="AH12" i="28"/>
  <c r="AG19" i="28"/>
  <c r="AH17" i="28"/>
  <c r="AH29" i="28"/>
  <c r="AH28" i="28"/>
  <c r="AH9" i="28"/>
  <c r="AG15" i="28"/>
  <c r="AG29" i="28"/>
  <c r="AG20" i="28"/>
  <c r="AG13" i="28"/>
  <c r="AG7" i="28"/>
  <c r="AH19" i="28"/>
  <c r="AG12" i="28"/>
  <c r="AG6" i="28"/>
  <c r="AG26" i="28"/>
  <c r="AH11" i="28"/>
  <c r="AH16" i="28"/>
  <c r="AH26" i="28"/>
  <c r="AG28" i="28"/>
  <c r="AG25" i="28"/>
  <c r="AH10" i="28"/>
  <c r="AG10" i="28"/>
  <c r="AG27" i="28"/>
  <c r="AG11" i="28"/>
  <c r="AG16" i="28"/>
  <c r="AH30" i="28"/>
  <c r="AH27" i="28"/>
  <c r="AH15" i="28"/>
  <c r="AG9" i="28"/>
  <c r="AG17" i="28"/>
  <c r="AG23" i="28"/>
  <c r="AH25" i="28"/>
  <c r="AG24" i="28"/>
  <c r="AH22" i="28"/>
  <c r="AG18" i="28"/>
  <c r="AH18" i="28"/>
  <c r="AB8" i="28"/>
  <c r="AB10" i="28"/>
  <c r="AB6" i="28"/>
  <c r="AB7" i="28"/>
  <c r="AB9" i="28"/>
  <c r="AB11" i="28"/>
  <c r="AB12" i="28"/>
  <c r="AB27" i="28"/>
  <c r="P31" i="28"/>
  <c r="AB24" i="28"/>
  <c r="AB13" i="28"/>
  <c r="AB15" i="28"/>
  <c r="AB29" i="28"/>
  <c r="AB26" i="28"/>
  <c r="AB28" i="28"/>
  <c r="AB16" i="28"/>
  <c r="AB22" i="28"/>
  <c r="AB18" i="28"/>
  <c r="AB30" i="28"/>
  <c r="AB25" i="28"/>
  <c r="AB17" i="28"/>
  <c r="AB21" i="28"/>
  <c r="AB19" i="28"/>
  <c r="AB23" i="28"/>
  <c r="AB20" i="28"/>
  <c r="AB14" i="28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C6" i="28" l="1"/>
  <c r="AD7" i="28"/>
  <c r="AD6" i="28"/>
  <c r="AD8" i="28"/>
  <c r="AD20" i="28"/>
  <c r="AC20" i="28"/>
  <c r="AC8" i="28"/>
  <c r="AD19" i="28"/>
  <c r="AC19" i="28"/>
  <c r="AC7" i="28"/>
  <c r="AD18" i="28"/>
  <c r="AC30" i="28"/>
  <c r="AD30" i="28"/>
  <c r="AD29" i="28"/>
  <c r="AD28" i="28"/>
  <c r="AD16" i="28"/>
  <c r="AC28" i="28"/>
  <c r="AC16" i="28"/>
  <c r="AD12" i="28"/>
  <c r="AD23" i="28"/>
  <c r="AC21" i="28"/>
  <c r="AC18" i="28"/>
  <c r="AD27" i="28"/>
  <c r="AD15" i="28"/>
  <c r="AC27" i="28"/>
  <c r="AC15" i="28"/>
  <c r="AC13" i="28"/>
  <c r="AC24" i="28"/>
  <c r="AD11" i="28"/>
  <c r="AC11" i="28"/>
  <c r="AD9" i="28"/>
  <c r="AD26" i="28"/>
  <c r="AD14" i="28"/>
  <c r="AC26" i="28"/>
  <c r="AC14" i="28"/>
  <c r="AD13" i="28"/>
  <c r="AC25" i="28"/>
  <c r="AC12" i="28"/>
  <c r="AC23" i="28"/>
  <c r="AC10" i="28"/>
  <c r="AC9" i="28"/>
  <c r="AC17" i="28"/>
  <c r="AD25" i="28"/>
  <c r="AD24" i="28"/>
  <c r="AD17" i="28"/>
  <c r="AD22" i="28"/>
  <c r="AD10" i="28"/>
  <c r="AC22" i="28"/>
  <c r="AD21" i="28"/>
  <c r="AC29" i="28"/>
  <c r="J28" i="2"/>
  <c r="J28" i="10"/>
  <c r="F28" i="3" l="1"/>
  <c r="H3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C28" i="1" l="1"/>
  <c r="E28" i="1" l="1"/>
  <c r="F28" i="1" s="1"/>
  <c r="Z4" i="14" s="1"/>
  <c r="H28" i="1"/>
  <c r="V4" i="14"/>
  <c r="AD4" i="14"/>
  <c r="AH22" i="14"/>
  <c r="AH10" i="14"/>
  <c r="AH16" i="14"/>
  <c r="AH13" i="14"/>
  <c r="AH21" i="14"/>
  <c r="AH9" i="14"/>
  <c r="AH15" i="14"/>
  <c r="AH12" i="14"/>
  <c r="AH20" i="14"/>
  <c r="AH8" i="14"/>
  <c r="AD28" i="14"/>
  <c r="AH24" i="14"/>
  <c r="AH19" i="14"/>
  <c r="AH7" i="14"/>
  <c r="AH25" i="14"/>
  <c r="AH4" i="14"/>
  <c r="AH18" i="14"/>
  <c r="AH6" i="14"/>
  <c r="AH5" i="14"/>
  <c r="AH14" i="14"/>
  <c r="AH11" i="14"/>
  <c r="AH29" i="14"/>
  <c r="AH17" i="14"/>
  <c r="AH23" i="14"/>
  <c r="AH28" i="14"/>
  <c r="AH27" i="14"/>
  <c r="AH26" i="14"/>
  <c r="B4" i="14"/>
  <c r="AD18" i="14"/>
  <c r="AD21" i="14"/>
  <c r="AD8" i="14"/>
  <c r="AD14" i="14"/>
  <c r="AD12" i="14"/>
  <c r="AD9" i="14"/>
  <c r="AD20" i="14"/>
  <c r="AD7" i="14"/>
  <c r="AD13" i="14"/>
  <c r="AD11" i="14"/>
  <c r="AD19" i="14"/>
  <c r="AD6" i="14"/>
  <c r="AD15" i="14"/>
  <c r="AD24" i="14"/>
  <c r="AD5" i="14"/>
  <c r="AD17" i="14"/>
  <c r="AD25" i="14"/>
  <c r="AD10" i="14"/>
  <c r="AD29" i="14"/>
  <c r="AD16" i="14"/>
  <c r="AD26" i="14"/>
  <c r="AD22" i="14"/>
  <c r="AD27" i="14"/>
  <c r="AD23" i="14"/>
  <c r="B29" i="14"/>
  <c r="Z29" i="14" l="1"/>
  <c r="Z5" i="14"/>
  <c r="Z26" i="14"/>
  <c r="Z16" i="14"/>
  <c r="Z18" i="14"/>
  <c r="Z6" i="14"/>
  <c r="Z13" i="14"/>
  <c r="Z27" i="14"/>
  <c r="Z23" i="14"/>
  <c r="Z24" i="14"/>
  <c r="Z8" i="14"/>
  <c r="Z9" i="14"/>
  <c r="Z22" i="14"/>
  <c r="Z20" i="14"/>
  <c r="Z25" i="14"/>
  <c r="Z12" i="14"/>
  <c r="Z21" i="14"/>
  <c r="Z17" i="14"/>
  <c r="Z11" i="14"/>
  <c r="Z10" i="14"/>
  <c r="Z28" i="14"/>
  <c r="Z19" i="14"/>
  <c r="Z14" i="14"/>
  <c r="Z15" i="14"/>
  <c r="Z7" i="14"/>
  <c r="AF4" i="14"/>
  <c r="AJ21" i="14"/>
  <c r="AJ24" i="14"/>
  <c r="AI29" i="14"/>
  <c r="AJ29" i="14"/>
  <c r="AJ20" i="14"/>
  <c r="AJ7" i="14"/>
  <c r="AI10" i="14"/>
  <c r="AI17" i="14"/>
  <c r="AI12" i="14"/>
  <c r="AI15" i="14"/>
  <c r="AJ15" i="14"/>
  <c r="AI8" i="14"/>
  <c r="AI11" i="14"/>
  <c r="AI28" i="14"/>
  <c r="AI19" i="14"/>
  <c r="AI22" i="14"/>
  <c r="AI24" i="14"/>
  <c r="AI27" i="14"/>
  <c r="AJ27" i="14"/>
  <c r="AI20" i="14"/>
  <c r="AI23" i="14"/>
  <c r="AJ14" i="14"/>
  <c r="AJ17" i="14"/>
  <c r="AJ10" i="14"/>
  <c r="AJ13" i="14"/>
  <c r="AI6" i="14"/>
  <c r="AJ6" i="14"/>
  <c r="AJ9" i="14"/>
  <c r="AJ28" i="14"/>
  <c r="AI26" i="14"/>
  <c r="AJ22" i="14"/>
  <c r="AJ25" i="14"/>
  <c r="AI18" i="14"/>
  <c r="AJ18" i="14"/>
  <c r="AJ26" i="14"/>
  <c r="AJ12" i="14"/>
  <c r="AI13" i="14"/>
  <c r="AI4" i="14"/>
  <c r="AJ4" i="14"/>
  <c r="AI9" i="14"/>
  <c r="AI7" i="14"/>
  <c r="AJ5" i="14"/>
  <c r="AI25" i="14"/>
  <c r="AI16" i="14"/>
  <c r="AJ16" i="14"/>
  <c r="AI21" i="14"/>
  <c r="AJ19" i="14"/>
  <c r="AI5" i="14"/>
  <c r="AJ8" i="14"/>
  <c r="AJ11" i="14"/>
  <c r="AJ23" i="14"/>
  <c r="AI14" i="14"/>
  <c r="AE27" i="14"/>
  <c r="AF27" i="14"/>
  <c r="AF29" i="14"/>
  <c r="AE22" i="14"/>
  <c r="AF14" i="14"/>
  <c r="AE10" i="14"/>
  <c r="AF16" i="14"/>
  <c r="AE7" i="14"/>
  <c r="AE26" i="14"/>
  <c r="AE8" i="14"/>
  <c r="AF11" i="14"/>
  <c r="AF20" i="14"/>
  <c r="AF12" i="14"/>
  <c r="AE13" i="14"/>
  <c r="AE12" i="14"/>
  <c r="AE15" i="14"/>
  <c r="AF10" i="14"/>
  <c r="AF28" i="14"/>
  <c r="AF7" i="14"/>
  <c r="AF19" i="14"/>
  <c r="AE5" i="14"/>
  <c r="AE24" i="14"/>
  <c r="AF17" i="14"/>
  <c r="AE14" i="14"/>
  <c r="AE6" i="14"/>
  <c r="AF9" i="14"/>
  <c r="AF18" i="14"/>
  <c r="AF25" i="14"/>
  <c r="AE23" i="14"/>
  <c r="AF15" i="14"/>
  <c r="AF22" i="14"/>
  <c r="AE18" i="14"/>
  <c r="AF8" i="14"/>
  <c r="AF23" i="14"/>
  <c r="AE20" i="14"/>
  <c r="AE28" i="14"/>
  <c r="AE21" i="14"/>
  <c r="AE11" i="14"/>
  <c r="AE19" i="14"/>
  <c r="AF6" i="14"/>
  <c r="AF21" i="14"/>
  <c r="AF13" i="14"/>
  <c r="AF5" i="14"/>
  <c r="AE16" i="14"/>
  <c r="AE9" i="14"/>
  <c r="AE4" i="14"/>
  <c r="AF26" i="14"/>
  <c r="AF24" i="14"/>
  <c r="AE17" i="14"/>
  <c r="AE29" i="14"/>
  <c r="AE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G5" i="14" l="1"/>
  <c r="H5" i="14"/>
  <c r="H22" i="14"/>
  <c r="H17" i="14"/>
  <c r="AB4" i="14"/>
  <c r="G14" i="14"/>
  <c r="G18" i="14"/>
  <c r="H8" i="14"/>
  <c r="G28" i="14"/>
  <c r="G26" i="14"/>
  <c r="H14" i="14"/>
  <c r="H16" i="14"/>
  <c r="G20" i="14"/>
  <c r="H4" i="14"/>
  <c r="H12" i="14"/>
  <c r="H26" i="14"/>
  <c r="H28" i="14"/>
  <c r="G11" i="14"/>
  <c r="G16" i="14"/>
  <c r="H20" i="14"/>
  <c r="H24" i="14"/>
  <c r="G7" i="14"/>
  <c r="H29" i="14"/>
  <c r="G23" i="14"/>
  <c r="G8" i="14"/>
  <c r="H18" i="14"/>
  <c r="H9" i="14"/>
  <c r="G27" i="14"/>
  <c r="G29" i="14"/>
  <c r="H7" i="14"/>
  <c r="H6" i="14"/>
  <c r="G17" i="14"/>
  <c r="G21" i="14"/>
  <c r="G13" i="14"/>
  <c r="H13" i="14"/>
  <c r="H15" i="14"/>
  <c r="H19" i="14"/>
  <c r="G12" i="14"/>
  <c r="G15" i="14"/>
  <c r="H21" i="14"/>
  <c r="AB5" i="14"/>
  <c r="G25" i="14"/>
  <c r="H25" i="14"/>
  <c r="H27" i="14"/>
  <c r="G9" i="14"/>
  <c r="G24" i="14"/>
  <c r="H11" i="14"/>
  <c r="G19" i="14"/>
  <c r="G10" i="14"/>
  <c r="H10" i="14"/>
  <c r="H23" i="14"/>
  <c r="G4" i="14"/>
  <c r="G6" i="14"/>
  <c r="G22" i="14"/>
  <c r="AA20" i="14"/>
  <c r="AA10" i="14"/>
  <c r="AA14" i="14"/>
  <c r="AA28" i="14"/>
  <c r="AB21" i="14"/>
  <c r="AA25" i="14"/>
  <c r="AA18" i="14"/>
  <c r="AA24" i="14"/>
  <c r="AB7" i="14"/>
  <c r="AA8" i="14"/>
  <c r="AB11" i="14"/>
  <c r="AB26" i="14"/>
  <c r="AB28" i="14"/>
  <c r="AA13" i="14"/>
  <c r="AB24" i="14"/>
  <c r="AA7" i="14"/>
  <c r="AA4" i="14"/>
  <c r="AB10" i="14"/>
  <c r="AB16" i="14"/>
  <c r="AB17" i="14"/>
  <c r="AA17" i="14"/>
  <c r="AA26" i="14"/>
  <c r="AA21" i="14"/>
  <c r="AA11" i="14"/>
  <c r="AA23" i="14"/>
  <c r="AB18" i="14"/>
  <c r="AA16" i="14"/>
  <c r="AA9" i="14"/>
  <c r="AB6" i="14"/>
  <c r="AB23" i="14"/>
  <c r="AA5" i="14"/>
  <c r="AB13" i="14"/>
  <c r="AB9" i="14"/>
  <c r="AB14" i="14"/>
  <c r="AA12" i="14"/>
  <c r="AA27" i="14"/>
  <c r="AA19" i="14"/>
  <c r="AA6" i="14"/>
  <c r="AB12" i="14"/>
  <c r="AB15" i="14"/>
  <c r="AB25" i="14"/>
  <c r="AB20" i="14"/>
  <c r="AB29" i="14"/>
  <c r="AB19" i="14"/>
  <c r="AB22" i="14"/>
  <c r="AB27" i="14"/>
  <c r="AB8" i="14"/>
  <c r="AA15" i="14"/>
  <c r="AA22" i="14"/>
  <c r="AA29" i="14"/>
  <c r="AJ30" i="14"/>
  <c r="AF30" i="14"/>
  <c r="F11" i="14"/>
  <c r="D4" i="14"/>
  <c r="D5" i="14"/>
  <c r="C5" i="14"/>
  <c r="C4" i="14"/>
  <c r="E4" i="14"/>
  <c r="E16" i="14"/>
  <c r="E28" i="14"/>
  <c r="D14" i="14"/>
  <c r="D26" i="14"/>
  <c r="E11" i="14"/>
  <c r="E13" i="14"/>
  <c r="D23" i="14"/>
  <c r="E15" i="14"/>
  <c r="E5" i="14"/>
  <c r="E17" i="14"/>
  <c r="D15" i="14"/>
  <c r="D27" i="14"/>
  <c r="D25" i="14"/>
  <c r="E6" i="14"/>
  <c r="E18" i="14"/>
  <c r="D16" i="14"/>
  <c r="D28" i="14"/>
  <c r="D20" i="14"/>
  <c r="E14" i="14"/>
  <c r="D13" i="14"/>
  <c r="E7" i="14"/>
  <c r="E19" i="14"/>
  <c r="D17" i="14"/>
  <c r="D9" i="14"/>
  <c r="D10" i="14"/>
  <c r="D11" i="14"/>
  <c r="D12" i="14"/>
  <c r="E27" i="14"/>
  <c r="E8" i="14"/>
  <c r="E20" i="14"/>
  <c r="D6" i="14"/>
  <c r="D18" i="14"/>
  <c r="D8" i="14"/>
  <c r="E23" i="14"/>
  <c r="D22" i="14"/>
  <c r="E25" i="14"/>
  <c r="E9" i="14"/>
  <c r="E21" i="14"/>
  <c r="D7" i="14"/>
  <c r="D19" i="14"/>
  <c r="E22" i="14"/>
  <c r="E24" i="14"/>
  <c r="D24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27" i="10" l="1"/>
  <c r="G10" i="2" l="1"/>
  <c r="E27" i="10" l="1"/>
  <c r="F28" i="6" l="1"/>
  <c r="C28" i="6"/>
  <c r="C28" i="4" l="1"/>
  <c r="E29" i="14" l="1"/>
  <c r="F24" i="2"/>
  <c r="V29" i="14" l="1"/>
  <c r="V24" i="14"/>
  <c r="V25" i="14"/>
  <c r="V5" i="14"/>
  <c r="V19" i="14"/>
  <c r="V17" i="14"/>
  <c r="V21" i="14"/>
  <c r="V20" i="14"/>
  <c r="V22" i="14"/>
  <c r="V12" i="14"/>
  <c r="V8" i="14"/>
  <c r="V14" i="14"/>
  <c r="V26" i="14"/>
  <c r="V23" i="14"/>
  <c r="V27" i="14"/>
  <c r="V9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29" i="14" l="1"/>
  <c r="X4" i="14"/>
  <c r="W4" i="14"/>
  <c r="W5" i="14"/>
  <c r="X28" i="14"/>
  <c r="X26" i="14"/>
  <c r="X25" i="14"/>
  <c r="X24" i="14"/>
  <c r="X14" i="14"/>
  <c r="X5" i="14"/>
  <c r="X18" i="14"/>
  <c r="X27" i="14"/>
  <c r="W9" i="14"/>
  <c r="W27" i="14"/>
  <c r="X10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W12" i="14"/>
  <c r="X6" i="14"/>
  <c r="X17" i="14"/>
  <c r="W20" i="14"/>
  <c r="W28" i="14"/>
  <c r="X8" i="14"/>
  <c r="X13" i="14"/>
  <c r="X7" i="14"/>
  <c r="W6" i="14"/>
  <c r="X20" i="14"/>
  <c r="W14" i="14"/>
  <c r="W26" i="14"/>
  <c r="E28" i="10"/>
  <c r="G28" i="10"/>
  <c r="X30" i="14" l="1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C3" i="18"/>
  <c r="H3" i="15"/>
  <c r="G3" i="15"/>
  <c r="F3" i="15"/>
  <c r="E3" i="15"/>
  <c r="D3" i="15"/>
  <c r="C3" i="15"/>
  <c r="H3" i="14"/>
  <c r="G3" i="14"/>
  <c r="F3" i="14"/>
  <c r="E3" i="14"/>
  <c r="AB3" i="14" s="1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B29" i="19" l="1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E4" i="18" l="1"/>
  <c r="E16" i="18"/>
  <c r="G7" i="18"/>
  <c r="G19" i="18"/>
  <c r="D10" i="18"/>
  <c r="D22" i="18"/>
  <c r="D24" i="18"/>
  <c r="G14" i="18"/>
  <c r="G4" i="18"/>
  <c r="G17" i="18"/>
  <c r="E5" i="18"/>
  <c r="E17" i="18"/>
  <c r="G8" i="18"/>
  <c r="G20" i="18"/>
  <c r="D11" i="18"/>
  <c r="D23" i="18"/>
  <c r="D12" i="18"/>
  <c r="D17" i="18"/>
  <c r="D18" i="18"/>
  <c r="G5" i="18"/>
  <c r="D9" i="18"/>
  <c r="E6" i="18"/>
  <c r="E18" i="18"/>
  <c r="G9" i="18"/>
  <c r="G21" i="18"/>
  <c r="E23" i="18"/>
  <c r="G16" i="18"/>
  <c r="D20" i="18"/>
  <c r="E7" i="18"/>
  <c r="E19" i="18"/>
  <c r="G10" i="18"/>
  <c r="G22" i="18"/>
  <c r="D13" i="18"/>
  <c r="D4" i="18"/>
  <c r="E24" i="18"/>
  <c r="D7" i="18"/>
  <c r="E15" i="18"/>
  <c r="E8" i="18"/>
  <c r="E20" i="18"/>
  <c r="G11" i="18"/>
  <c r="G23" i="18"/>
  <c r="D14" i="18"/>
  <c r="E11" i="18"/>
  <c r="D6" i="18"/>
  <c r="G18" i="18"/>
  <c r="E9" i="18"/>
  <c r="E21" i="18"/>
  <c r="G12" i="18"/>
  <c r="G24" i="18"/>
  <c r="D15" i="18"/>
  <c r="G13" i="18"/>
  <c r="D5" i="18"/>
  <c r="E13" i="18"/>
  <c r="D8" i="18"/>
  <c r="E10" i="18"/>
  <c r="E22" i="18"/>
  <c r="D16" i="18"/>
  <c r="G15" i="18"/>
  <c r="E14" i="18"/>
  <c r="D21" i="18"/>
  <c r="E12" i="18"/>
  <c r="D19" i="18"/>
  <c r="G6" i="18"/>
  <c r="D26" i="19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5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C16" i="18"/>
  <c r="C24" i="18"/>
  <c r="C7" i="18"/>
  <c r="C15" i="18"/>
  <c r="C23" i="18"/>
  <c r="E25" i="18"/>
  <c r="C10" i="18"/>
  <c r="C18" i="18"/>
  <c r="G25" i="18"/>
  <c r="C5" i="18"/>
  <c r="C13" i="18"/>
  <c r="C21" i="18"/>
  <c r="C12" i="18"/>
  <c r="C20" i="18"/>
  <c r="C11" i="18"/>
  <c r="C19" i="18"/>
  <c r="C6" i="18"/>
  <c r="C14" i="18"/>
  <c r="C22" i="18"/>
  <c r="C9" i="18"/>
  <c r="C17" i="18"/>
  <c r="C25" i="18"/>
  <c r="F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F14" i="14" l="1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G3" i="5"/>
  <c r="E27" i="5"/>
  <c r="E26" i="5"/>
  <c r="F28" i="21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E6" i="5"/>
  <c r="E5" i="5"/>
  <c r="E4" i="5"/>
  <c r="F24" i="21" s="1"/>
  <c r="E3" i="5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F6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H24" i="21" l="1"/>
  <c r="H5" i="21"/>
  <c r="F5" i="21"/>
  <c r="H6" i="20"/>
  <c r="F25" i="21"/>
  <c r="H27" i="21"/>
  <c r="F27" i="21"/>
  <c r="E28" i="3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<sst xmlns="http://schemas.openxmlformats.org/spreadsheetml/2006/main" count="446" uniqueCount="106">
  <si>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</si>
  <si>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</si>
  <si>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</si>
  <si>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</si>
  <si>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</si>
  <si>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</si>
  <si>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</si>
  <si>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</si>
  <si>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</si>
  <si>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</si>
  <si>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</si>
  <si>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</si>
  <si>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</si>
  <si>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</si>
  <si>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</si>
  <si>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</si>
  <si>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</si>
  <si>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</si>
  <si>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</si>
  <si>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</si>
  <si>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</si>
  <si>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</si>
  <si>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</si>
  <si>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</si>
  <si>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</si>
  <si>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</si>
  <si>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</si>
  <si>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</si>
  <si>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</si>
  <si>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</si>
  <si>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</si>
  <si>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</si>
  <si>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</si>
  <si>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</si>
  <si>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</si>
  <si>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</si>
  <si>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</si>
  <si>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</si>
  <si>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</si>
  <si>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</si>
  <si>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</si>
  <si>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</si>
  <si>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</si>
  <si>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</si>
  <si>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</si>
  <si>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</si>
  <si>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</si>
  <si>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</si>
  <si>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</si>
  <si>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</si>
  <si>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</si>
  <si>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</si>
  <si>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</si>
  <si>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</si>
  <si>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</si>
  <si>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</si>
  <si>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</si>
  <si>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różnica</t>
  </si>
  <si>
    <t>róznica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</si>
  <si>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</si>
  <si>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</si>
  <si>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</si>
  <si>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stan na 31-12-2023</t>
  </si>
  <si>
    <t>Zmiana stanu na k. okr. [liczba bezr.]</t>
  </si>
  <si>
    <t>stan na 31-12-2024</t>
  </si>
  <si>
    <t>lokata [x]</t>
  </si>
  <si>
    <t>lokata [y]</t>
  </si>
  <si>
    <t>wzrost/spadek [y1]</t>
  </si>
  <si>
    <t>wzrost/spadek [y2]</t>
  </si>
  <si>
    <t>Suma różnic [y]</t>
  </si>
  <si>
    <t>kumulatywny wzrost/sp. podjęć pracy i staży</t>
  </si>
  <si>
    <t>kumulatywny wzrost/sp. liczby bezrobotnych</t>
  </si>
  <si>
    <t>Spadki i wzrosty - liczba bezrobotnych wg powiatów [podkarpackie] w proc. do poprz. m-ca</t>
  </si>
  <si>
    <t>Ranking powiatów o wysokiej i niskiej liczbie osób bezrobotnych</t>
  </si>
  <si>
    <t>Spadki i wzrosty - liczba bezrobotnych wg powiatów [podkarpackie] liczba do poprz. m-ca</t>
  </si>
  <si>
    <t>liczba bezrobotnych kobiet stan na 31-05-'25 r.</t>
  </si>
  <si>
    <t>liczba ofert w 05-'25 r.</t>
  </si>
  <si>
    <t>podjecia pracy niesubs. I-V 2024</t>
  </si>
  <si>
    <t>liczba bezrobotnych ogółem stan na 31-05-'25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</si>
  <si>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30-06-'25 r.</t>
    </r>
  </si>
  <si>
    <t>liczba bezrobotnych ogółem stan na 30-06-'24 r.</t>
  </si>
  <si>
    <t>liczba bezrobotnych kobiet stan na 30-06-'25 r.</t>
  </si>
  <si>
    <t>liczba bezrobotnych kobiet stan na 30-06-'24 r.</t>
  </si>
  <si>
    <t>liczba bezrobotnych zam. na wsi stan na 31-05-'25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</si>
  <si>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30-06-'25 r.</t>
    </r>
  </si>
  <si>
    <r>
      <t>liczba bezrobotnych zam. na wsi stan na 30</t>
    </r>
    <r>
      <rPr>
        <sz val="12"/>
        <color theme="1"/>
        <rFont val="Arial"/>
        <family val="2"/>
        <charset val="238"/>
      </rPr>
      <t>-06-'24 r.</t>
    </r>
  </si>
  <si>
    <t>liczba bezrobotnych pow. 12 m-cy stan na 31-05-'25 r.</t>
  </si>
  <si>
    <r>
      <t>liczba bezrobotnych pow. 12 m-cy stan na 30</t>
    </r>
    <r>
      <rPr>
        <sz val="12"/>
        <color theme="1"/>
        <rFont val="Arial"/>
        <family val="2"/>
        <charset val="238"/>
      </rPr>
      <t>-06-'25 r.</t>
    </r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</si>
  <si>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30-06-'24 r.</t>
    </r>
  </si>
  <si>
    <t>liczba bezrobotnych do 30 r. ż. stan na 31-05-'25 r.</t>
  </si>
  <si>
    <r>
      <t>liczba bezrobotnych do 30 r. ż. stan na 30</t>
    </r>
    <r>
      <rPr>
        <sz val="12"/>
        <color theme="1"/>
        <rFont val="Arial"/>
        <family val="2"/>
        <charset val="238"/>
      </rPr>
      <t>-06-'25 r.</t>
    </r>
  </si>
  <si>
    <r>
      <t>liczba bezrobotnych do 30 r. ż. stan na 30</t>
    </r>
    <r>
      <rPr>
        <sz val="12"/>
        <color theme="1"/>
        <rFont val="Arial"/>
        <family val="2"/>
        <charset val="238"/>
      </rPr>
      <t>-06-'24 r.</t>
    </r>
  </si>
  <si>
    <t>liczba bezrobotnych 50+ stan na 31-05-'25 r.</t>
  </si>
  <si>
    <r>
      <t>liczba bezrobotnych 50+ stan na 30</t>
    </r>
    <r>
      <rPr>
        <sz val="12"/>
        <color theme="1"/>
        <rFont val="Arial"/>
        <family val="2"/>
        <charset val="238"/>
      </rPr>
      <t>-06-'25 r.</t>
    </r>
  </si>
  <si>
    <r>
      <t>liczba bezrobotnych 50+ stan na 30</t>
    </r>
    <r>
      <rPr>
        <sz val="12"/>
        <color theme="1"/>
        <rFont val="Arial"/>
        <family val="2"/>
        <charset val="238"/>
      </rPr>
      <t>-06-'24 r.</t>
    </r>
  </si>
  <si>
    <t>liczba ofert w 06-'25 r.</t>
  </si>
  <si>
    <t>liczba ofert w 06-'24 r.</t>
  </si>
  <si>
    <t>podjecia pracy niesubs. I-VI 2025</t>
  </si>
  <si>
    <t>stan na 30-06-2024</t>
  </si>
  <si>
    <t>stan na 30-06-2025</t>
  </si>
  <si>
    <t>praca subs. I-VI 2025</t>
  </si>
  <si>
    <t>praca subs. I-VI 2024</t>
  </si>
  <si>
    <t>staże I-VI 2025</t>
  </si>
  <si>
    <t>staże I-VI 2024</t>
  </si>
  <si>
    <t>o rynku pracy i służbach zatrudnienia.</t>
  </si>
  <si>
    <t>Definicja osób długotrwale bezrobotnych jest zawarta w ustawie z dnia 20 maraca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</si>
</sst>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EF1E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horizontal="right" vertical="center"/>
    </xf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91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28" xfId="3" quotePrefix="1" applyFont="1" applyFill="1" applyBorder="1" applyAlignment="1">
      <alignment horizontal="left" vertical="center" wrapText="1"/>
    </xf>
    <xf numFmtId="0" fontId="9" fillId="2" borderId="29" xfId="3" quotePrefix="1" applyFont="1" applyFill="1" applyBorder="1" applyAlignment="1">
      <alignment horizontal="left" vertical="center" wrapText="1"/>
    </xf>
    <xf numFmtId="0" fontId="9" fillId="2" borderId="30" xfId="3" quotePrefix="1" applyFont="1" applyFill="1" applyBorder="1" applyAlignment="1">
      <alignment horizontal="left" vertical="center" wrapText="1"/>
    </xf>
    <xf numFmtId="0" fontId="11" fillId="2" borderId="29" xfId="3" quotePrefix="1" applyFont="1" applyFill="1" applyBorder="1" applyAlignment="1">
      <alignment horizontal="left" vertical="center" wrapText="1"/>
    </xf>
    <xf numFmtId="0" fontId="11" fillId="2" borderId="30" xfId="3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27" xfId="2" quotePrefix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9" fillId="5" borderId="2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9" fillId="6" borderId="18" xfId="0" applyNumberFormat="1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2" fontId="9" fillId="6" borderId="19" xfId="0" applyNumberFormat="1" applyFont="1" applyFill="1" applyBorder="1" applyAlignment="1">
      <alignment horizontal="center" vertical="center" wrapText="1"/>
    </xf>
    <xf numFmtId="2" fontId="9" fillId="6" borderId="3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/>
    <xf numFmtId="0" fontId="9" fillId="2" borderId="0" xfId="0" applyFont="1" applyFill="1" applyAlignment="1">
      <alignment horizontal="left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3" fontId="4" fillId="7" borderId="1" xfId="0" applyNumberFormat="1" applyFont="1" applyFill="1" applyBorder="1" applyAlignment="1">
      <alignment horizontal="left" vertical="top"/>
    </xf>
    <xf numFmtId="3" fontId="2" fillId="7" borderId="0" xfId="0" applyNumberFormat="1" applyFont="1" applyFill="1" applyAlignment="1">
      <alignment horizont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center" vertical="center" wrapText="1"/>
    </xf>
    <xf numFmtId="3" fontId="9" fillId="2" borderId="24" xfId="0" applyNumberFormat="1" applyFont="1" applyFill="1" applyBorder="1" applyAlignment="1">
      <alignment horizontal="center" vertical="center"/>
    </xf>
    <xf numFmtId="3" fontId="9" fillId="2" borderId="13" xfId="1" applyNumberFormat="1" applyFont="1" applyFill="1" applyBorder="1" applyAlignment="1">
      <alignment horizontal="center" vertical="center" wrapText="1"/>
    </xf>
    <xf numFmtId="3" fontId="9" fillId="2" borderId="25" xfId="0" applyNumberFormat="1" applyFont="1" applyFill="1" applyBorder="1" applyAlignment="1">
      <alignment horizontal="center" vertical="center"/>
    </xf>
    <xf numFmtId="3" fontId="9" fillId="2" borderId="15" xfId="1" applyNumberFormat="1" applyFont="1" applyFill="1" applyBorder="1" applyAlignment="1">
      <alignment horizontal="center" vertical="center" wrapText="1"/>
    </xf>
    <xf numFmtId="3" fontId="11" fillId="2" borderId="13" xfId="1" applyNumberFormat="1" applyFont="1" applyFill="1" applyBorder="1" applyAlignment="1">
      <alignment horizontal="center" vertical="center" wrapText="1"/>
    </xf>
    <xf numFmtId="3" fontId="11" fillId="2" borderId="15" xfId="1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1" fontId="14" fillId="2" borderId="29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/>
    </xf>
    <xf numFmtId="15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15" fontId="3" fillId="9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2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left" vertical="center"/>
    </xf>
    <xf numFmtId="164" fontId="2" fillId="8" borderId="1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</cellXfs>
  <cellStyles count="4">
    <cellStyle name="Normalny" xfId="0" builtinId="0"/>
    <cellStyle name="S4" xfId="2" xr:uid="{124FFDC3-3E86-4499-8194-8F114FEE6CA4}"/>
    <cellStyle name="S6" xfId="3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EF1E6"/>
      <color rgb="FFFFFFFF"/>
      <color rgb="FFFEF4EC"/>
      <color rgb="FFF8EDEC"/>
      <color rgb="FFF0DAD8"/>
      <color rgb="FFFDE2CB"/>
      <color rgb="FFFFFFCC"/>
      <color rgb="FFFFEE9B"/>
      <color rgb="FFFFCC99"/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04829185361607"/>
          <c:y val="8.0408578765934824E-2"/>
          <c:w val="0.7794275691062873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dębicki</c:v>
                </c:pt>
                <c:pt idx="9">
                  <c:v>łańcucki</c:v>
                </c:pt>
                <c:pt idx="10">
                  <c:v>Przemyśl</c:v>
                </c:pt>
                <c:pt idx="11">
                  <c:v>krośnieński</c:v>
                </c:pt>
                <c:pt idx="12">
                  <c:v>ropczycko-sędziszowski</c:v>
                </c:pt>
                <c:pt idx="13">
                  <c:v>niżański</c:v>
                </c:pt>
                <c:pt idx="14">
                  <c:v>przemyski</c:v>
                </c:pt>
                <c:pt idx="15">
                  <c:v>sanocki</c:v>
                </c:pt>
                <c:pt idx="16">
                  <c:v>leżajski</c:v>
                </c:pt>
                <c:pt idx="17">
                  <c:v>strzyżowski</c:v>
                </c:pt>
                <c:pt idx="18">
                  <c:v>mielecki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887</c:v>
                </c:pt>
                <c:pt idx="1">
                  <c:v>982</c:v>
                </c:pt>
                <c:pt idx="2">
                  <c:v>1035</c:v>
                </c:pt>
                <c:pt idx="3">
                  <c:v>1234</c:v>
                </c:pt>
                <c:pt idx="4">
                  <c:v>1480</c:v>
                </c:pt>
                <c:pt idx="5">
                  <c:v>1522</c:v>
                </c:pt>
                <c:pt idx="6">
                  <c:v>1528</c:v>
                </c:pt>
                <c:pt idx="7">
                  <c:v>2211</c:v>
                </c:pt>
                <c:pt idx="8">
                  <c:v>2214</c:v>
                </c:pt>
                <c:pt idx="9">
                  <c:v>2323</c:v>
                </c:pt>
                <c:pt idx="10">
                  <c:v>2355</c:v>
                </c:pt>
                <c:pt idx="11">
                  <c:v>2372</c:v>
                </c:pt>
                <c:pt idx="12">
                  <c:v>2631</c:v>
                </c:pt>
                <c:pt idx="13">
                  <c:v>2804</c:v>
                </c:pt>
                <c:pt idx="14">
                  <c:v>2834</c:v>
                </c:pt>
                <c:pt idx="15">
                  <c:v>2839</c:v>
                </c:pt>
                <c:pt idx="16">
                  <c:v>2840</c:v>
                </c:pt>
                <c:pt idx="17">
                  <c:v>2935</c:v>
                </c:pt>
                <c:pt idx="18">
                  <c:v>3112</c:v>
                </c:pt>
                <c:pt idx="19">
                  <c:v>3277</c:v>
                </c:pt>
                <c:pt idx="20">
                  <c:v>3452</c:v>
                </c:pt>
                <c:pt idx="21">
                  <c:v>4380</c:v>
                </c:pt>
                <c:pt idx="22">
                  <c:v>4507</c:v>
                </c:pt>
                <c:pt idx="23">
                  <c:v>4650</c:v>
                </c:pt>
                <c:pt idx="24">
                  <c:v>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2805219331"/>
          <c:y val="3.4652607546293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7.7492552552082955E-2"/>
          <c:w val="0.92202892411249104"/>
          <c:h val="0.856426117861238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'1sort'!$Z$1</c:f>
              <c:strCache>
                <c:ptCount val="1"/>
                <c:pt idx="0">
                  <c:v>Spadki i wzrosty - liczba bezrobotnych wg powiatów [podkarpackie] w proc. do poprz. m-ca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'1sort'!$AA$4:$AA$29</c:f>
              <c:strCache>
                <c:ptCount val="26"/>
                <c:pt idx="0">
                  <c:v>łańcucki</c:v>
                </c:pt>
                <c:pt idx="1">
                  <c:v>brzozowski</c:v>
                </c:pt>
                <c:pt idx="2">
                  <c:v>bieszczadzki</c:v>
                </c:pt>
                <c:pt idx="3">
                  <c:v>sanocki</c:v>
                </c:pt>
                <c:pt idx="4">
                  <c:v>leski</c:v>
                </c:pt>
                <c:pt idx="5">
                  <c:v>niżański</c:v>
                </c:pt>
                <c:pt idx="6">
                  <c:v>kolbuszowski</c:v>
                </c:pt>
                <c:pt idx="7">
                  <c:v>jarosławski</c:v>
                </c:pt>
                <c:pt idx="8">
                  <c:v>jasielski</c:v>
                </c:pt>
                <c:pt idx="9">
                  <c:v>przeworski</c:v>
                </c:pt>
                <c:pt idx="10">
                  <c:v>strzyżowski</c:v>
                </c:pt>
                <c:pt idx="11">
                  <c:v>Przemyśl</c:v>
                </c:pt>
                <c:pt idx="12">
                  <c:v>województwo</c:v>
                </c:pt>
                <c:pt idx="13">
                  <c:v>ropczycko-sędziszowski</c:v>
                </c:pt>
                <c:pt idx="14">
                  <c:v>rzeszowski</c:v>
                </c:pt>
                <c:pt idx="15">
                  <c:v>przemyski</c:v>
                </c:pt>
                <c:pt idx="16">
                  <c:v>leżajski</c:v>
                </c:pt>
                <c:pt idx="17">
                  <c:v>krośnieński</c:v>
                </c:pt>
                <c:pt idx="18">
                  <c:v>tarnobrzeski </c:v>
                </c:pt>
                <c:pt idx="19">
                  <c:v>stalowowolski</c:v>
                </c:pt>
                <c:pt idx="20">
                  <c:v>Krosno</c:v>
                </c:pt>
                <c:pt idx="21">
                  <c:v>lubaczowski</c:v>
                </c:pt>
                <c:pt idx="22">
                  <c:v>Rzeszów</c:v>
                </c:pt>
                <c:pt idx="23">
                  <c:v>Tarnobrzeg</c:v>
                </c:pt>
                <c:pt idx="24">
                  <c:v>dębicki</c:v>
                </c:pt>
                <c:pt idx="25">
                  <c:v>mielecki</c:v>
                </c:pt>
              </c:strCache>
            </c:strRef>
          </c:cat>
          <c:val>
            <c:numRef>
              <c:f>'1sort'!$AB$4:$AB$29</c:f>
              <c:numCache>
                <c:formatCode>0.0</c:formatCode>
                <c:ptCount val="26"/>
                <c:pt idx="0">
                  <c:v>-2.4359512809743809</c:v>
                </c:pt>
                <c:pt idx="1">
                  <c:v>-1.0888252148997135</c:v>
                </c:pt>
                <c:pt idx="2">
                  <c:v>-1.0080645161290323</c:v>
                </c:pt>
                <c:pt idx="3">
                  <c:v>-0.69954529555788736</c:v>
                </c:pt>
                <c:pt idx="4">
                  <c:v>-0.58785107772697576</c:v>
                </c:pt>
                <c:pt idx="5">
                  <c:v>0.10710460549803642</c:v>
                </c:pt>
                <c:pt idx="6">
                  <c:v>0.27100271002710025</c:v>
                </c:pt>
                <c:pt idx="7">
                  <c:v>0.3436426116838488</c:v>
                </c:pt>
                <c:pt idx="8">
                  <c:v>0.34527406128614591</c:v>
                </c:pt>
                <c:pt idx="9">
                  <c:v>0.61406202026404666</c:v>
                </c:pt>
                <c:pt idx="10">
                  <c:v>0.61707233459033251</c:v>
                </c:pt>
                <c:pt idx="11">
                  <c:v>0.72711719418306242</c:v>
                </c:pt>
                <c:pt idx="12">
                  <c:v>0.78954658786591569</c:v>
                </c:pt>
                <c:pt idx="13">
                  <c:v>0.88190184049079745</c:v>
                </c:pt>
                <c:pt idx="14">
                  <c:v>0.91804746977160767</c:v>
                </c:pt>
                <c:pt idx="15">
                  <c:v>0.99786172487526736</c:v>
                </c:pt>
                <c:pt idx="16">
                  <c:v>1.2116892373485388</c:v>
                </c:pt>
                <c:pt idx="17">
                  <c:v>1.3242204186245194</c:v>
                </c:pt>
                <c:pt idx="18">
                  <c:v>1.5637860082304527</c:v>
                </c:pt>
                <c:pt idx="19">
                  <c:v>1.7019319227230909</c:v>
                </c:pt>
                <c:pt idx="20">
                  <c:v>1.8369690011481057</c:v>
                </c:pt>
                <c:pt idx="21">
                  <c:v>1.9346230820547032</c:v>
                </c:pt>
                <c:pt idx="22">
                  <c:v>2.0477815699658701</c:v>
                </c:pt>
                <c:pt idx="23">
                  <c:v>2.4752475247524752</c:v>
                </c:pt>
                <c:pt idx="24">
                  <c:v>2.5949953660797034</c:v>
                </c:pt>
                <c:pt idx="25">
                  <c:v>3.802535023348899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3211168"/>
        <c:axId val="83197856"/>
      </c:barChart>
      <c:catAx>
        <c:axId val="83211168"/>
        <c:scaling>
          <c:orientation val="minMax"/>
        </c:scaling>
        <c:delete val="0"/>
        <c:axPos val="l"/>
        <c:minorGridlines>
          <c:spPr>
            <a:ln w="3175">
              <a:solidFill>
                <a:schemeClr val="accent2">
                  <a:lumMod val="75000"/>
                  <a:alpha val="47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C00000">
                <a:alpha val="89000"/>
              </a:srgb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b"/>
        <c:numFmt formatCode="0.0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bieszczadzki</c:v>
                </c:pt>
                <c:pt idx="1">
                  <c:v>Krosno</c:v>
                </c:pt>
                <c:pt idx="2">
                  <c:v>Tarnobrzeg</c:v>
                </c:pt>
                <c:pt idx="3">
                  <c:v>tarnobrzeski </c:v>
                </c:pt>
                <c:pt idx="4">
                  <c:v>lubaczowski</c:v>
                </c:pt>
                <c:pt idx="5">
                  <c:v>leski</c:v>
                </c:pt>
                <c:pt idx="6">
                  <c:v>kolbuszowski</c:v>
                </c:pt>
                <c:pt idx="7">
                  <c:v>Przemyśl</c:v>
                </c:pt>
                <c:pt idx="8">
                  <c:v>łańcucki</c:v>
                </c:pt>
                <c:pt idx="9">
                  <c:v>stalowowolski</c:v>
                </c:pt>
                <c:pt idx="10">
                  <c:v>krośnieński</c:v>
                </c:pt>
                <c:pt idx="11">
                  <c:v>dębicki</c:v>
                </c:pt>
                <c:pt idx="12">
                  <c:v>ropczycko-sędziszowski</c:v>
                </c:pt>
                <c:pt idx="13">
                  <c:v>przemyski</c:v>
                </c:pt>
                <c:pt idx="14">
                  <c:v>sanocki</c:v>
                </c:pt>
                <c:pt idx="15">
                  <c:v>niżański</c:v>
                </c:pt>
                <c:pt idx="16">
                  <c:v>mielecki</c:v>
                </c:pt>
                <c:pt idx="17">
                  <c:v>strzyżowski</c:v>
                </c:pt>
                <c:pt idx="18">
                  <c:v>leżajski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435</c:v>
                </c:pt>
                <c:pt idx="1">
                  <c:v>459</c:v>
                </c:pt>
                <c:pt idx="2">
                  <c:v>501</c:v>
                </c:pt>
                <c:pt idx="3">
                  <c:v>615</c:v>
                </c:pt>
                <c:pt idx="4">
                  <c:v>673</c:v>
                </c:pt>
                <c:pt idx="5">
                  <c:v>683</c:v>
                </c:pt>
                <c:pt idx="6">
                  <c:v>690</c:v>
                </c:pt>
                <c:pt idx="7">
                  <c:v>1073</c:v>
                </c:pt>
                <c:pt idx="8">
                  <c:v>1089</c:v>
                </c:pt>
                <c:pt idx="9">
                  <c:v>1119</c:v>
                </c:pt>
                <c:pt idx="10">
                  <c:v>1304</c:v>
                </c:pt>
                <c:pt idx="11">
                  <c:v>1308</c:v>
                </c:pt>
                <c:pt idx="12">
                  <c:v>1346</c:v>
                </c:pt>
                <c:pt idx="13">
                  <c:v>1360</c:v>
                </c:pt>
                <c:pt idx="14">
                  <c:v>1381</c:v>
                </c:pt>
                <c:pt idx="15">
                  <c:v>1392</c:v>
                </c:pt>
                <c:pt idx="16">
                  <c:v>1463</c:v>
                </c:pt>
                <c:pt idx="17">
                  <c:v>1465</c:v>
                </c:pt>
                <c:pt idx="18">
                  <c:v>1481</c:v>
                </c:pt>
                <c:pt idx="19">
                  <c:v>1698</c:v>
                </c:pt>
                <c:pt idx="20">
                  <c:v>1706</c:v>
                </c:pt>
                <c:pt idx="21">
                  <c:v>2095</c:v>
                </c:pt>
                <c:pt idx="22">
                  <c:v>2214</c:v>
                </c:pt>
                <c:pt idx="23">
                  <c:v>2508</c:v>
                </c:pt>
                <c:pt idx="24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26742809453835131"/>
          <c:y val="2.9015162121975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lubaczowski</c:v>
                </c:pt>
                <c:pt idx="3">
                  <c:v>tarnobrzeski </c:v>
                </c:pt>
                <c:pt idx="4">
                  <c:v>leski</c:v>
                </c:pt>
                <c:pt idx="5">
                  <c:v>dębicki</c:v>
                </c:pt>
                <c:pt idx="6">
                  <c:v>kolbuszowski</c:v>
                </c:pt>
                <c:pt idx="7">
                  <c:v>mielecki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łańcucki</c:v>
                </c:pt>
                <c:pt idx="11">
                  <c:v>niżański</c:v>
                </c:pt>
                <c:pt idx="12">
                  <c:v>krośnieński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strzyżowski</c:v>
                </c:pt>
                <c:pt idx="16">
                  <c:v>jarosławski</c:v>
                </c:pt>
                <c:pt idx="17">
                  <c:v>przemyski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'3sort'!$D$4:$D$24</c:f>
              <c:numCache>
                <c:formatCode>#,##0</c:formatCode>
                <c:ptCount val="21"/>
                <c:pt idx="0" formatCode="General">
                  <c:v>615</c:v>
                </c:pt>
                <c:pt idx="1">
                  <c:v>863</c:v>
                </c:pt>
                <c:pt idx="2">
                  <c:v>998</c:v>
                </c:pt>
                <c:pt idx="3">
                  <c:v>1009</c:v>
                </c:pt>
                <c:pt idx="4">
                  <c:v>1238</c:v>
                </c:pt>
                <c:pt idx="5">
                  <c:v>1284</c:v>
                </c:pt>
                <c:pt idx="6">
                  <c:v>1298</c:v>
                </c:pt>
                <c:pt idx="7">
                  <c:v>1531</c:v>
                </c:pt>
                <c:pt idx="8">
                  <c:v>1661</c:v>
                </c:pt>
                <c:pt idx="9">
                  <c:v>1701</c:v>
                </c:pt>
                <c:pt idx="10">
                  <c:v>1804</c:v>
                </c:pt>
                <c:pt idx="11">
                  <c:v>1860</c:v>
                </c:pt>
                <c:pt idx="12">
                  <c:v>2138</c:v>
                </c:pt>
                <c:pt idx="13">
                  <c:v>2155</c:v>
                </c:pt>
                <c:pt idx="14">
                  <c:v>2450</c:v>
                </c:pt>
                <c:pt idx="15">
                  <c:v>2632</c:v>
                </c:pt>
                <c:pt idx="16">
                  <c:v>2724</c:v>
                </c:pt>
                <c:pt idx="17">
                  <c:v>2757</c:v>
                </c:pt>
                <c:pt idx="18">
                  <c:v>3174</c:v>
                </c:pt>
                <c:pt idx="19">
                  <c:v>3266</c:v>
                </c:pt>
                <c:pt idx="20">
                  <c:v>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tarnobrzeski </c:v>
                </c:pt>
                <c:pt idx="3">
                  <c:v>bieszczadzki</c:v>
                </c:pt>
                <c:pt idx="4">
                  <c:v>kolbuszowski</c:v>
                </c:pt>
                <c:pt idx="5">
                  <c:v>lubaczowski</c:v>
                </c:pt>
                <c:pt idx="6">
                  <c:v>dębicki</c:v>
                </c:pt>
                <c:pt idx="7">
                  <c:v>stalowowolski</c:v>
                </c:pt>
                <c:pt idx="8">
                  <c:v>leski</c:v>
                </c:pt>
                <c:pt idx="9">
                  <c:v>krośnieński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Przemyśl</c:v>
                </c:pt>
                <c:pt idx="13">
                  <c:v>mielecki</c:v>
                </c:pt>
                <c:pt idx="14">
                  <c:v>sanocki</c:v>
                </c:pt>
                <c:pt idx="15">
                  <c:v>przemyski</c:v>
                </c:pt>
                <c:pt idx="16">
                  <c:v>niżański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'4sort'!$D$4:$D$28</c:f>
              <c:numCache>
                <c:formatCode>#,##0</c:formatCode>
                <c:ptCount val="25"/>
                <c:pt idx="0" formatCode="General">
                  <c:v>353</c:v>
                </c:pt>
                <c:pt idx="1">
                  <c:v>532</c:v>
                </c:pt>
                <c:pt idx="2">
                  <c:v>620</c:v>
                </c:pt>
                <c:pt idx="3">
                  <c:v>624</c:v>
                </c:pt>
                <c:pt idx="4">
                  <c:v>758</c:v>
                </c:pt>
                <c:pt idx="5">
                  <c:v>829</c:v>
                </c:pt>
                <c:pt idx="6">
                  <c:v>913</c:v>
                </c:pt>
                <c:pt idx="7">
                  <c:v>946</c:v>
                </c:pt>
                <c:pt idx="8">
                  <c:v>996</c:v>
                </c:pt>
                <c:pt idx="9">
                  <c:v>1070</c:v>
                </c:pt>
                <c:pt idx="10">
                  <c:v>1133</c:v>
                </c:pt>
                <c:pt idx="11">
                  <c:v>1417</c:v>
                </c:pt>
                <c:pt idx="12">
                  <c:v>1450</c:v>
                </c:pt>
                <c:pt idx="13">
                  <c:v>1538</c:v>
                </c:pt>
                <c:pt idx="14">
                  <c:v>1547</c:v>
                </c:pt>
                <c:pt idx="15">
                  <c:v>1651</c:v>
                </c:pt>
                <c:pt idx="16">
                  <c:v>1677</c:v>
                </c:pt>
                <c:pt idx="17">
                  <c:v>1685</c:v>
                </c:pt>
                <c:pt idx="18">
                  <c:v>1843</c:v>
                </c:pt>
                <c:pt idx="19">
                  <c:v>1908</c:v>
                </c:pt>
                <c:pt idx="20">
                  <c:v>2268</c:v>
                </c:pt>
                <c:pt idx="21">
                  <c:v>2454</c:v>
                </c:pt>
                <c:pt idx="22">
                  <c:v>2561</c:v>
                </c:pt>
                <c:pt idx="23">
                  <c:v>2884</c:v>
                </c:pt>
                <c:pt idx="24">
                  <c:v>2904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Przemyśl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łańcucki</c:v>
                </c:pt>
                <c:pt idx="12">
                  <c:v>niżański</c:v>
                </c:pt>
                <c:pt idx="13">
                  <c:v>przemyski</c:v>
                </c:pt>
                <c:pt idx="14">
                  <c:v>sanocki</c:v>
                </c:pt>
                <c:pt idx="15">
                  <c:v>strzyżowski</c:v>
                </c:pt>
                <c:pt idx="16">
                  <c:v>leżajski</c:v>
                </c:pt>
                <c:pt idx="17">
                  <c:v>mielecki</c:v>
                </c:pt>
                <c:pt idx="18">
                  <c:v>ropczycko-sędziszowski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Rzeszów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rzeszowski</c:v>
                </c:pt>
              </c:strCache>
            </c:strRef>
          </c:cat>
          <c:val>
            <c:numRef>
              <c:f>'5sort'!$D$4:$D$28</c:f>
              <c:numCache>
                <c:formatCode>#,##0</c:formatCode>
                <c:ptCount val="25"/>
                <c:pt idx="0" formatCode="General">
                  <c:v>190</c:v>
                </c:pt>
                <c:pt idx="1">
                  <c:v>220</c:v>
                </c:pt>
                <c:pt idx="2">
                  <c:v>240</c:v>
                </c:pt>
                <c:pt idx="3">
                  <c:v>322</c:v>
                </c:pt>
                <c:pt idx="4">
                  <c:v>388</c:v>
                </c:pt>
                <c:pt idx="5">
                  <c:v>395</c:v>
                </c:pt>
                <c:pt idx="6">
                  <c:v>426</c:v>
                </c:pt>
                <c:pt idx="7">
                  <c:v>470</c:v>
                </c:pt>
                <c:pt idx="8">
                  <c:v>570</c:v>
                </c:pt>
                <c:pt idx="9">
                  <c:v>587</c:v>
                </c:pt>
                <c:pt idx="10">
                  <c:v>673</c:v>
                </c:pt>
                <c:pt idx="11">
                  <c:v>676</c:v>
                </c:pt>
                <c:pt idx="12">
                  <c:v>700</c:v>
                </c:pt>
                <c:pt idx="13">
                  <c:v>728</c:v>
                </c:pt>
                <c:pt idx="14">
                  <c:v>732</c:v>
                </c:pt>
                <c:pt idx="15">
                  <c:v>744</c:v>
                </c:pt>
                <c:pt idx="16">
                  <c:v>768</c:v>
                </c:pt>
                <c:pt idx="17">
                  <c:v>803</c:v>
                </c:pt>
                <c:pt idx="18">
                  <c:v>824</c:v>
                </c:pt>
                <c:pt idx="19">
                  <c:v>871</c:v>
                </c:pt>
                <c:pt idx="20">
                  <c:v>893</c:v>
                </c:pt>
                <c:pt idx="21">
                  <c:v>991</c:v>
                </c:pt>
                <c:pt idx="22">
                  <c:v>1088</c:v>
                </c:pt>
                <c:pt idx="23">
                  <c:v>1134</c:v>
                </c:pt>
                <c:pt idx="24">
                  <c:v>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dębicki</c:v>
                </c:pt>
                <c:pt idx="8">
                  <c:v>stalowowolski</c:v>
                </c:pt>
                <c:pt idx="9">
                  <c:v>łańcucki</c:v>
                </c:pt>
                <c:pt idx="10">
                  <c:v>ropczycko-sędziszowski</c:v>
                </c:pt>
                <c:pt idx="11">
                  <c:v>krośnieński</c:v>
                </c:pt>
                <c:pt idx="12">
                  <c:v>leżajski</c:v>
                </c:pt>
                <c:pt idx="13">
                  <c:v>sanocki</c:v>
                </c:pt>
                <c:pt idx="14">
                  <c:v>niżański</c:v>
                </c:pt>
                <c:pt idx="15">
                  <c:v>Przemyśl</c:v>
                </c:pt>
                <c:pt idx="16">
                  <c:v>przemyski</c:v>
                </c:pt>
                <c:pt idx="17">
                  <c:v>przeworski</c:v>
                </c:pt>
                <c:pt idx="18">
                  <c:v>strzyżowski</c:v>
                </c:pt>
                <c:pt idx="19">
                  <c:v>mielecki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jasielski</c:v>
                </c:pt>
                <c:pt idx="23">
                  <c:v>jarosławski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208</c:v>
                </c:pt>
                <c:pt idx="1">
                  <c:v>242</c:v>
                </c:pt>
                <c:pt idx="2">
                  <c:v>286</c:v>
                </c:pt>
                <c:pt idx="3">
                  <c:v>349</c:v>
                </c:pt>
                <c:pt idx="4">
                  <c:v>400</c:v>
                </c:pt>
                <c:pt idx="5">
                  <c:v>408</c:v>
                </c:pt>
                <c:pt idx="6">
                  <c:v>430</c:v>
                </c:pt>
                <c:pt idx="7">
                  <c:v>515</c:v>
                </c:pt>
                <c:pt idx="8">
                  <c:v>545</c:v>
                </c:pt>
                <c:pt idx="9">
                  <c:v>573</c:v>
                </c:pt>
                <c:pt idx="10">
                  <c:v>576</c:v>
                </c:pt>
                <c:pt idx="11">
                  <c:v>655</c:v>
                </c:pt>
                <c:pt idx="12">
                  <c:v>664</c:v>
                </c:pt>
                <c:pt idx="13">
                  <c:v>665</c:v>
                </c:pt>
                <c:pt idx="14">
                  <c:v>685</c:v>
                </c:pt>
                <c:pt idx="15">
                  <c:v>705</c:v>
                </c:pt>
                <c:pt idx="16">
                  <c:v>724</c:v>
                </c:pt>
                <c:pt idx="17">
                  <c:v>738</c:v>
                </c:pt>
                <c:pt idx="18">
                  <c:v>754</c:v>
                </c:pt>
                <c:pt idx="19">
                  <c:v>783</c:v>
                </c:pt>
                <c:pt idx="20">
                  <c:v>854</c:v>
                </c:pt>
                <c:pt idx="21">
                  <c:v>1084</c:v>
                </c:pt>
                <c:pt idx="22">
                  <c:v>1103</c:v>
                </c:pt>
                <c:pt idx="23">
                  <c:v>1104</c:v>
                </c:pt>
                <c:pt idx="24">
                  <c:v>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brzozowski</c:v>
                </c:pt>
                <c:pt idx="1">
                  <c:v>bieszczadzki</c:v>
                </c:pt>
                <c:pt idx="2">
                  <c:v>niżański</c:v>
                </c:pt>
                <c:pt idx="3">
                  <c:v>przemyski</c:v>
                </c:pt>
                <c:pt idx="4">
                  <c:v>leski</c:v>
                </c:pt>
                <c:pt idx="5">
                  <c:v>lubaczowski</c:v>
                </c:pt>
                <c:pt idx="6">
                  <c:v>kolbuszowski</c:v>
                </c:pt>
                <c:pt idx="7">
                  <c:v>sanocki</c:v>
                </c:pt>
                <c:pt idx="8">
                  <c:v>strzyżowski</c:v>
                </c:pt>
                <c:pt idx="9">
                  <c:v>krośnieński</c:v>
                </c:pt>
                <c:pt idx="10">
                  <c:v>Tarnobrzeg</c:v>
                </c:pt>
                <c:pt idx="11">
                  <c:v>leżajski</c:v>
                </c:pt>
                <c:pt idx="12">
                  <c:v>łańcucki</c:v>
                </c:pt>
                <c:pt idx="13">
                  <c:v>Krosno</c:v>
                </c:pt>
                <c:pt idx="14">
                  <c:v>Przemyśl</c:v>
                </c:pt>
                <c:pt idx="15">
                  <c:v>tarnobrzeski </c:v>
                </c:pt>
                <c:pt idx="16">
                  <c:v>stalowowolski</c:v>
                </c:pt>
                <c:pt idx="17">
                  <c:v>ropczycko-sędziszowski</c:v>
                </c:pt>
                <c:pt idx="18">
                  <c:v>jarosławski</c:v>
                </c:pt>
                <c:pt idx="19">
                  <c:v>przeworski</c:v>
                </c:pt>
                <c:pt idx="20">
                  <c:v>rzeszowski</c:v>
                </c:pt>
                <c:pt idx="21">
                  <c:v>jasielski</c:v>
                </c:pt>
                <c:pt idx="22">
                  <c:v>dębicki</c:v>
                </c:pt>
                <c:pt idx="23">
                  <c:v>mielecki</c:v>
                </c:pt>
                <c:pt idx="24">
                  <c:v>Rzeszów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6</c:v>
                </c:pt>
                <c:pt idx="1">
                  <c:v>8</c:v>
                </c:pt>
                <c:pt idx="2">
                  <c:v>17</c:v>
                </c:pt>
                <c:pt idx="3">
                  <c:v>20</c:v>
                </c:pt>
                <c:pt idx="4">
                  <c:v>22</c:v>
                </c:pt>
                <c:pt idx="5">
                  <c:v>23</c:v>
                </c:pt>
                <c:pt idx="6">
                  <c:v>27</c:v>
                </c:pt>
                <c:pt idx="7">
                  <c:v>27</c:v>
                </c:pt>
                <c:pt idx="8">
                  <c:v>28</c:v>
                </c:pt>
                <c:pt idx="9">
                  <c:v>31</c:v>
                </c:pt>
                <c:pt idx="10">
                  <c:v>33</c:v>
                </c:pt>
                <c:pt idx="11">
                  <c:v>35</c:v>
                </c:pt>
                <c:pt idx="12">
                  <c:v>39</c:v>
                </c:pt>
                <c:pt idx="13">
                  <c:v>47</c:v>
                </c:pt>
                <c:pt idx="14">
                  <c:v>47</c:v>
                </c:pt>
                <c:pt idx="15">
                  <c:v>48</c:v>
                </c:pt>
                <c:pt idx="16">
                  <c:v>59</c:v>
                </c:pt>
                <c:pt idx="17">
                  <c:v>60</c:v>
                </c:pt>
                <c:pt idx="18">
                  <c:v>63</c:v>
                </c:pt>
                <c:pt idx="19">
                  <c:v>79</c:v>
                </c:pt>
                <c:pt idx="20">
                  <c:v>123</c:v>
                </c:pt>
                <c:pt idx="21">
                  <c:v>134</c:v>
                </c:pt>
                <c:pt idx="22">
                  <c:v>136</c:v>
                </c:pt>
                <c:pt idx="23">
                  <c:v>169</c:v>
                </c:pt>
                <c:pt idx="24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jarosławski</c:v>
                </c:pt>
                <c:pt idx="1">
                  <c:v>dębicki</c:v>
                </c:pt>
                <c:pt idx="2">
                  <c:v>lubaczowski</c:v>
                </c:pt>
                <c:pt idx="3">
                  <c:v>ropczycko-sędziszowski</c:v>
                </c:pt>
                <c:pt idx="4">
                  <c:v>brzozowski</c:v>
                </c:pt>
                <c:pt idx="5">
                  <c:v>bieszczadzki</c:v>
                </c:pt>
                <c:pt idx="6">
                  <c:v>niżański</c:v>
                </c:pt>
                <c:pt idx="7">
                  <c:v>przeworski</c:v>
                </c:pt>
                <c:pt idx="8">
                  <c:v>strzyżowski</c:v>
                </c:pt>
                <c:pt idx="9">
                  <c:v>kolbuszowski</c:v>
                </c:pt>
                <c:pt idx="10">
                  <c:v>sanocki</c:v>
                </c:pt>
                <c:pt idx="11">
                  <c:v>rzeszowski</c:v>
                </c:pt>
                <c:pt idx="12">
                  <c:v>leski</c:v>
                </c:pt>
                <c:pt idx="13">
                  <c:v>przemyski</c:v>
                </c:pt>
                <c:pt idx="14">
                  <c:v>łańcucki</c:v>
                </c:pt>
                <c:pt idx="15">
                  <c:v>tarnobrzeski </c:v>
                </c:pt>
                <c:pt idx="16">
                  <c:v>krośnieński</c:v>
                </c:pt>
                <c:pt idx="17">
                  <c:v>leżajski</c:v>
                </c:pt>
                <c:pt idx="18">
                  <c:v>Rzeszów</c:v>
                </c:pt>
                <c:pt idx="19">
                  <c:v>Tarnobrzeg</c:v>
                </c:pt>
                <c:pt idx="20">
                  <c:v>Przemyśl</c:v>
                </c:pt>
                <c:pt idx="21">
                  <c:v>Krosno</c:v>
                </c:pt>
                <c:pt idx="22">
                  <c:v>stalowowolski</c:v>
                </c:pt>
                <c:pt idx="23">
                  <c:v>jasielski</c:v>
                </c:pt>
                <c:pt idx="24">
                  <c:v>mielecki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16</c:v>
                </c:pt>
                <c:pt idx="17">
                  <c:v>18</c:v>
                </c:pt>
                <c:pt idx="18">
                  <c:v>21</c:v>
                </c:pt>
                <c:pt idx="19">
                  <c:v>21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39</c:v>
                </c:pt>
                <c:pt idx="2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brzozowski</c:v>
                </c:pt>
                <c:pt idx="1">
                  <c:v>przemyski</c:v>
                </c:pt>
                <c:pt idx="2">
                  <c:v>bieszczadzki</c:v>
                </c:pt>
                <c:pt idx="3">
                  <c:v>Tarnobrzeg</c:v>
                </c:pt>
                <c:pt idx="4">
                  <c:v>strzyżowski</c:v>
                </c:pt>
                <c:pt idx="5">
                  <c:v>sanocki</c:v>
                </c:pt>
                <c:pt idx="6">
                  <c:v>leski</c:v>
                </c:pt>
                <c:pt idx="7">
                  <c:v>krośnieński</c:v>
                </c:pt>
                <c:pt idx="8">
                  <c:v>leżajski</c:v>
                </c:pt>
                <c:pt idx="9">
                  <c:v>Krosno</c:v>
                </c:pt>
                <c:pt idx="10">
                  <c:v>tarnobrzeski </c:v>
                </c:pt>
                <c:pt idx="11">
                  <c:v>łańcucki</c:v>
                </c:pt>
                <c:pt idx="12">
                  <c:v>kolbuszowski</c:v>
                </c:pt>
                <c:pt idx="13">
                  <c:v>jarosławski</c:v>
                </c:pt>
                <c:pt idx="14">
                  <c:v>niżański</c:v>
                </c:pt>
                <c:pt idx="15">
                  <c:v>Przemyśl</c:v>
                </c:pt>
                <c:pt idx="16">
                  <c:v>lubaczowski</c:v>
                </c:pt>
                <c:pt idx="17">
                  <c:v>ropczycko-sędziszowski</c:v>
                </c:pt>
                <c:pt idx="18">
                  <c:v>stalowowolski</c:v>
                </c:pt>
                <c:pt idx="19">
                  <c:v>rzeszowski</c:v>
                </c:pt>
                <c:pt idx="20">
                  <c:v>przeworski</c:v>
                </c:pt>
                <c:pt idx="21">
                  <c:v>dębicki</c:v>
                </c:pt>
                <c:pt idx="22">
                  <c:v>jasielski</c:v>
                </c:pt>
                <c:pt idx="23">
                  <c:v>Rzeszów</c:v>
                </c:pt>
                <c:pt idx="24">
                  <c:v>mielecki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2</c:v>
                </c:pt>
                <c:pt idx="1">
                  <c:v>12</c:v>
                </c:pt>
                <c:pt idx="2">
                  <c:v>17</c:v>
                </c:pt>
                <c:pt idx="3">
                  <c:v>17</c:v>
                </c:pt>
                <c:pt idx="4">
                  <c:v>19</c:v>
                </c:pt>
                <c:pt idx="5">
                  <c:v>22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29</c:v>
                </c:pt>
                <c:pt idx="10">
                  <c:v>32</c:v>
                </c:pt>
                <c:pt idx="11">
                  <c:v>34</c:v>
                </c:pt>
                <c:pt idx="12">
                  <c:v>37</c:v>
                </c:pt>
                <c:pt idx="13">
                  <c:v>39</c:v>
                </c:pt>
                <c:pt idx="14">
                  <c:v>43</c:v>
                </c:pt>
                <c:pt idx="15">
                  <c:v>43</c:v>
                </c:pt>
                <c:pt idx="16">
                  <c:v>54</c:v>
                </c:pt>
                <c:pt idx="17">
                  <c:v>69</c:v>
                </c:pt>
                <c:pt idx="18">
                  <c:v>72</c:v>
                </c:pt>
                <c:pt idx="19">
                  <c:v>74</c:v>
                </c:pt>
                <c:pt idx="20">
                  <c:v>79</c:v>
                </c:pt>
                <c:pt idx="21">
                  <c:v>128</c:v>
                </c:pt>
                <c:pt idx="22">
                  <c:v>133</c:v>
                </c:pt>
                <c:pt idx="23">
                  <c:v>269</c:v>
                </c:pt>
                <c:pt idx="24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564359</xdr:colOff>
      <xdr:row>1</xdr:row>
      <xdr:rowOff>64294</xdr:rowOff>
    </xdr:from>
    <xdr:to>
      <xdr:col>3</xdr:col>
      <xdr:colOff>792960</xdr:colOff>
      <xdr:row>1</xdr:row>
      <xdr:rowOff>178594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4640" y="24288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180976</xdr:colOff>
      <xdr:row>2</xdr:row>
      <xdr:rowOff>142875</xdr:rowOff>
    </xdr:from>
    <xdr:to>
      <xdr:col>3</xdr:col>
      <xdr:colOff>361951</xdr:colOff>
      <xdr:row>3</xdr:row>
      <xdr:rowOff>133350</xdr:rowOff>
    </xdr:to>
    <xdr:sp macro="" textlink="">
      <xdr:nvSpPr>
        <xdr:cNvPr id="5" name="Sześcian 4">
          <a:extLst>
            <a:ext uri="{FF2B5EF4-FFF2-40B4-BE49-F238E27FC236}">
              <a16:creationId xmlns:a16="http://schemas.microsoft.com/office/drawing/2014/main" id="{33D804A4-E123-407F-A711-8401CF46B275}"/>
            </a:ext>
          </a:extLst>
        </xdr:cNvPr>
        <xdr:cNvSpPr/>
      </xdr:nvSpPr>
      <xdr:spPr>
        <a:xfrm>
          <a:off x="1866901" y="457200"/>
          <a:ext cx="180975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190500</xdr:colOff>
      <xdr:row>2</xdr:row>
      <xdr:rowOff>142875</xdr:rowOff>
    </xdr:from>
    <xdr:to>
      <xdr:col>7</xdr:col>
      <xdr:colOff>381000</xdr:colOff>
      <xdr:row>3</xdr:row>
      <xdr:rowOff>133350</xdr:rowOff>
    </xdr:to>
    <xdr:sp macro="" textlink="">
      <xdr:nvSpPr>
        <xdr:cNvPr id="6" name="Sześcian 5">
          <a:extLst>
            <a:ext uri="{FF2B5EF4-FFF2-40B4-BE49-F238E27FC236}">
              <a16:creationId xmlns:a16="http://schemas.microsoft.com/office/drawing/2014/main" id="{BB875000-ED9E-49E3-898C-A761B0EE751C}"/>
            </a:ext>
          </a:extLst>
        </xdr:cNvPr>
        <xdr:cNvSpPr/>
      </xdr:nvSpPr>
      <xdr:spPr>
        <a:xfrm>
          <a:off x="3352800" y="457200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2</xdr:row>
      <xdr:rowOff>142875</xdr:rowOff>
    </xdr:from>
    <xdr:to>
      <xdr:col>11</xdr:col>
      <xdr:colOff>342900</xdr:colOff>
      <xdr:row>3</xdr:row>
      <xdr:rowOff>133350</xdr:rowOff>
    </xdr:to>
    <xdr:sp macro="" textlink="">
      <xdr:nvSpPr>
        <xdr:cNvPr id="7" name="Sześcian 6">
          <a:extLst>
            <a:ext uri="{FF2B5EF4-FFF2-40B4-BE49-F238E27FC236}">
              <a16:creationId xmlns:a16="http://schemas.microsoft.com/office/drawing/2014/main" id="{F6F9A613-A836-4477-866E-74871C02A929}"/>
            </a:ext>
          </a:extLst>
        </xdr:cNvPr>
        <xdr:cNvSpPr/>
      </xdr:nvSpPr>
      <xdr:spPr>
        <a:xfrm>
          <a:off x="4905375" y="457200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1:H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5.285156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1.5703125" style="3" customWidth="1"/>
    <col min="7" max="7" width="16" style="3" customWidth="1"/>
    <col min="8" max="8" width="16.5703125" style="3" customWidth="1"/>
    <col min="9" max="9" width="10.7109375" style="3" customWidth="1"/>
    <col min="10" max="12" width="9.140625" style="3" customWidth="1"/>
    <col min="13" max="13" width="10.7109375" style="3" customWidth="1"/>
    <col min="14" max="14" width="11.140625" style="3" customWidth="1"/>
    <col min="15" max="16384" width="9.140625" style="3"/>
  </cols>
  <sheetData>
    <row r="1" spans="2:8" ht="17.25" customHeight="1" x14ac:dyDescent="0.2">
      <c r="B1" s="1" t="s">
        <v>32</v>
      </c>
      <c r="C1" s="18"/>
      <c r="D1" s="18"/>
      <c r="E1" s="18"/>
      <c r="F1" s="18"/>
      <c r="G1" s="18"/>
      <c r="H1" s="18"/>
    </row>
    <row r="2" spans="2:8" ht="58.5" x14ac:dyDescent="0.2">
      <c r="B2" s="36" t="s">
        <v>27</v>
      </c>
      <c r="C2" s="37" t="s">
        <v>79</v>
      </c>
      <c r="D2" s="38" t="s">
        <v>78</v>
      </c>
      <c r="E2" s="37" t="s">
        <v>33</v>
      </c>
      <c r="F2" s="178" t="s">
        <v>46</v>
      </c>
      <c r="G2" s="38" t="s">
        <v>80</v>
      </c>
      <c r="H2" s="37" t="s">
        <v>26</v>
      </c>
    </row>
    <row r="3" spans="2:8" x14ac:dyDescent="0.2">
      <c r="B3" s="5" t="s">
        <v>0</v>
      </c>
      <c r="C3" s="6">
        <v>982</v>
      </c>
      <c r="D3" s="42">
        <v>992</v>
      </c>
      <c r="E3" s="6">
        <f>SUM(C3)-D3</f>
        <v>-10</v>
      </c>
      <c r="F3" s="23">
        <f>SUM(E3/D3)*100</f>
        <v>-1.0080645161290323</v>
      </c>
      <c r="G3" s="42">
        <v>1031</v>
      </c>
      <c r="H3" s="6">
        <f>SUM(C3)-G3</f>
        <v>-49</v>
      </c>
    </row>
    <row r="4" spans="2:8" x14ac:dyDescent="0.2">
      <c r="B4" s="5" t="s">
        <v>1</v>
      </c>
      <c r="C4" s="6">
        <v>3452</v>
      </c>
      <c r="D4" s="42">
        <v>3490</v>
      </c>
      <c r="E4" s="6">
        <f t="shared" ref="E4:E26" si="0">SUM(C4)-D4</f>
        <v>-38</v>
      </c>
      <c r="F4" s="23">
        <f t="shared" ref="F4:F26" si="1">SUM(E4/D4)*100</f>
        <v>-1.0888252148997135</v>
      </c>
      <c r="G4" s="42">
        <v>3405</v>
      </c>
      <c r="H4" s="6">
        <f t="shared" ref="H4:H27" si="2">SUM(C4)-G4</f>
        <v>47</v>
      </c>
    </row>
    <row r="5" spans="2:8" x14ac:dyDescent="0.2">
      <c r="B5" s="5" t="s">
        <v>2</v>
      </c>
      <c r="C5" s="6">
        <v>2214</v>
      </c>
      <c r="D5" s="42">
        <v>2158</v>
      </c>
      <c r="E5" s="6">
        <f t="shared" si="0"/>
        <v>56</v>
      </c>
      <c r="F5" s="23">
        <f t="shared" si="1"/>
        <v>2.5949953660797034</v>
      </c>
      <c r="G5" s="42">
        <v>2260</v>
      </c>
      <c r="H5" s="6">
        <f t="shared" si="2"/>
        <v>-46</v>
      </c>
    </row>
    <row r="6" spans="2:8" x14ac:dyDescent="0.2">
      <c r="B6" s="5" t="s">
        <v>3</v>
      </c>
      <c r="C6" s="6">
        <v>4380</v>
      </c>
      <c r="D6" s="42">
        <v>4365</v>
      </c>
      <c r="E6" s="6">
        <f t="shared" si="0"/>
        <v>15</v>
      </c>
      <c r="F6" s="23">
        <f t="shared" si="1"/>
        <v>0.3436426116838488</v>
      </c>
      <c r="G6" s="42">
        <v>4239</v>
      </c>
      <c r="H6" s="6">
        <f t="shared" si="2"/>
        <v>141</v>
      </c>
    </row>
    <row r="7" spans="2:8" x14ac:dyDescent="0.2">
      <c r="B7" s="5" t="s">
        <v>4</v>
      </c>
      <c r="C7" s="6">
        <v>4650</v>
      </c>
      <c r="D7" s="42">
        <v>4634</v>
      </c>
      <c r="E7" s="6">
        <f t="shared" si="0"/>
        <v>16</v>
      </c>
      <c r="F7" s="23">
        <f t="shared" si="1"/>
        <v>0.34527406128614591</v>
      </c>
      <c r="G7" s="42">
        <v>4693</v>
      </c>
      <c r="H7" s="6">
        <f t="shared" si="2"/>
        <v>-43</v>
      </c>
    </row>
    <row r="8" spans="2:8" x14ac:dyDescent="0.2">
      <c r="B8" s="5" t="s">
        <v>5</v>
      </c>
      <c r="C8" s="6">
        <v>1480</v>
      </c>
      <c r="D8" s="42">
        <v>1476</v>
      </c>
      <c r="E8" s="6">
        <f t="shared" si="0"/>
        <v>4</v>
      </c>
      <c r="F8" s="23">
        <f t="shared" si="1"/>
        <v>0.27100271002710025</v>
      </c>
      <c r="G8" s="42">
        <v>1509</v>
      </c>
      <c r="H8" s="6">
        <f t="shared" si="2"/>
        <v>-29</v>
      </c>
    </row>
    <row r="9" spans="2:8" x14ac:dyDescent="0.2">
      <c r="B9" s="9" t="s">
        <v>6</v>
      </c>
      <c r="C9" s="6">
        <v>2372</v>
      </c>
      <c r="D9" s="42">
        <v>2341</v>
      </c>
      <c r="E9" s="6">
        <f t="shared" si="0"/>
        <v>31</v>
      </c>
      <c r="F9" s="23">
        <f t="shared" si="1"/>
        <v>1.3242204186245194</v>
      </c>
      <c r="G9" s="42">
        <v>2136</v>
      </c>
      <c r="H9" s="6">
        <f t="shared" si="2"/>
        <v>236</v>
      </c>
    </row>
    <row r="10" spans="2:8" x14ac:dyDescent="0.2">
      <c r="B10" s="5" t="s">
        <v>7</v>
      </c>
      <c r="C10" s="6">
        <v>1522</v>
      </c>
      <c r="D10" s="42">
        <v>1531</v>
      </c>
      <c r="E10" s="6">
        <f t="shared" si="0"/>
        <v>-9</v>
      </c>
      <c r="F10" s="23">
        <f t="shared" si="1"/>
        <v>-0.58785107772697576</v>
      </c>
      <c r="G10" s="42">
        <v>1531</v>
      </c>
      <c r="H10" s="6">
        <f t="shared" si="2"/>
        <v>-9</v>
      </c>
    </row>
    <row r="11" spans="2:8" x14ac:dyDescent="0.2">
      <c r="B11" s="5" t="s">
        <v>8</v>
      </c>
      <c r="C11" s="6">
        <v>2840</v>
      </c>
      <c r="D11" s="42">
        <v>2806</v>
      </c>
      <c r="E11" s="6">
        <f t="shared" si="0"/>
        <v>34</v>
      </c>
      <c r="F11" s="23">
        <f t="shared" si="1"/>
        <v>1.2116892373485388</v>
      </c>
      <c r="G11" s="42">
        <v>2809</v>
      </c>
      <c r="H11" s="6">
        <f t="shared" si="2"/>
        <v>31</v>
      </c>
    </row>
    <row r="12" spans="2:8" x14ac:dyDescent="0.2">
      <c r="B12" s="5" t="s">
        <v>9</v>
      </c>
      <c r="C12" s="6">
        <v>1528</v>
      </c>
      <c r="D12" s="42">
        <v>1499</v>
      </c>
      <c r="E12" s="6">
        <f t="shared" si="0"/>
        <v>29</v>
      </c>
      <c r="F12" s="23">
        <f t="shared" si="1"/>
        <v>1.9346230820547032</v>
      </c>
      <c r="G12" s="42">
        <v>1586</v>
      </c>
      <c r="H12" s="6">
        <f t="shared" si="2"/>
        <v>-58</v>
      </c>
    </row>
    <row r="13" spans="2:8" x14ac:dyDescent="0.2">
      <c r="B13" s="5" t="s">
        <v>10</v>
      </c>
      <c r="C13" s="6">
        <v>2323</v>
      </c>
      <c r="D13" s="42">
        <v>2381</v>
      </c>
      <c r="E13" s="6">
        <f t="shared" si="0"/>
        <v>-58</v>
      </c>
      <c r="F13" s="23">
        <f t="shared" si="1"/>
        <v>-2.4359512809743809</v>
      </c>
      <c r="G13" s="42">
        <v>2401</v>
      </c>
      <c r="H13" s="6">
        <f t="shared" si="2"/>
        <v>-78</v>
      </c>
    </row>
    <row r="14" spans="2:8" x14ac:dyDescent="0.2">
      <c r="B14" s="5" t="s">
        <v>11</v>
      </c>
      <c r="C14" s="6">
        <v>3112</v>
      </c>
      <c r="D14" s="42">
        <v>2998</v>
      </c>
      <c r="E14" s="6">
        <f t="shared" si="0"/>
        <v>114</v>
      </c>
      <c r="F14" s="23">
        <f t="shared" si="1"/>
        <v>3.802535023348899</v>
      </c>
      <c r="G14" s="42">
        <v>2872</v>
      </c>
      <c r="H14" s="6">
        <f t="shared" si="2"/>
        <v>240</v>
      </c>
    </row>
    <row r="15" spans="2:8" x14ac:dyDescent="0.2">
      <c r="B15" s="5" t="s">
        <v>12</v>
      </c>
      <c r="C15" s="6">
        <v>2804</v>
      </c>
      <c r="D15" s="42">
        <v>2801</v>
      </c>
      <c r="E15" s="6">
        <f t="shared" si="0"/>
        <v>3</v>
      </c>
      <c r="F15" s="23">
        <f t="shared" si="1"/>
        <v>0.10710460549803642</v>
      </c>
      <c r="G15" s="42">
        <v>2794</v>
      </c>
      <c r="H15" s="6">
        <f t="shared" si="2"/>
        <v>10</v>
      </c>
    </row>
    <row r="16" spans="2:8" x14ac:dyDescent="0.2">
      <c r="B16" s="5" t="s">
        <v>13</v>
      </c>
      <c r="C16" s="6">
        <v>2834</v>
      </c>
      <c r="D16" s="42">
        <v>2806</v>
      </c>
      <c r="E16" s="6">
        <f t="shared" si="0"/>
        <v>28</v>
      </c>
      <c r="F16" s="23">
        <f t="shared" si="1"/>
        <v>0.99786172487526736</v>
      </c>
      <c r="G16" s="42">
        <v>2711</v>
      </c>
      <c r="H16" s="6">
        <f t="shared" si="2"/>
        <v>123</v>
      </c>
    </row>
    <row r="17" spans="2:8" x14ac:dyDescent="0.2">
      <c r="B17" s="5" t="s">
        <v>14</v>
      </c>
      <c r="C17" s="6">
        <v>3277</v>
      </c>
      <c r="D17" s="42">
        <v>3257</v>
      </c>
      <c r="E17" s="6">
        <f t="shared" si="0"/>
        <v>20</v>
      </c>
      <c r="F17" s="23">
        <f t="shared" si="1"/>
        <v>0.61406202026404666</v>
      </c>
      <c r="G17" s="42">
        <v>3161</v>
      </c>
      <c r="H17" s="6">
        <f t="shared" si="2"/>
        <v>116</v>
      </c>
    </row>
    <row r="18" spans="2:8" x14ac:dyDescent="0.2">
      <c r="B18" s="5" t="s">
        <v>15</v>
      </c>
      <c r="C18" s="6">
        <v>2631</v>
      </c>
      <c r="D18" s="42">
        <v>2608</v>
      </c>
      <c r="E18" s="6">
        <f t="shared" si="0"/>
        <v>23</v>
      </c>
      <c r="F18" s="23">
        <f t="shared" si="1"/>
        <v>0.88190184049079745</v>
      </c>
      <c r="G18" s="42">
        <v>2556</v>
      </c>
      <c r="H18" s="6">
        <f t="shared" si="2"/>
        <v>75</v>
      </c>
    </row>
    <row r="19" spans="2:8" x14ac:dyDescent="0.2">
      <c r="B19" s="5" t="s">
        <v>16</v>
      </c>
      <c r="C19" s="6">
        <v>4507</v>
      </c>
      <c r="D19" s="42">
        <v>4466</v>
      </c>
      <c r="E19" s="6">
        <f t="shared" si="0"/>
        <v>41</v>
      </c>
      <c r="F19" s="23">
        <f t="shared" si="1"/>
        <v>0.91804746977160767</v>
      </c>
      <c r="G19" s="42">
        <v>4423</v>
      </c>
      <c r="H19" s="6">
        <f t="shared" si="2"/>
        <v>84</v>
      </c>
    </row>
    <row r="20" spans="2:8" x14ac:dyDescent="0.2">
      <c r="B20" s="5" t="s">
        <v>17</v>
      </c>
      <c r="C20" s="6">
        <v>2839</v>
      </c>
      <c r="D20" s="42">
        <v>2859</v>
      </c>
      <c r="E20" s="6">
        <f t="shared" si="0"/>
        <v>-20</v>
      </c>
      <c r="F20" s="23">
        <f t="shared" si="1"/>
        <v>-0.69954529555788736</v>
      </c>
      <c r="G20" s="42">
        <v>2659</v>
      </c>
      <c r="H20" s="6">
        <f t="shared" si="2"/>
        <v>180</v>
      </c>
    </row>
    <row r="21" spans="2:8" x14ac:dyDescent="0.2">
      <c r="B21" s="5" t="s">
        <v>18</v>
      </c>
      <c r="C21" s="6">
        <v>2211</v>
      </c>
      <c r="D21" s="42">
        <v>2174</v>
      </c>
      <c r="E21" s="6">
        <f t="shared" si="0"/>
        <v>37</v>
      </c>
      <c r="F21" s="23">
        <f t="shared" si="1"/>
        <v>1.7019319227230909</v>
      </c>
      <c r="G21" s="42">
        <v>1860</v>
      </c>
      <c r="H21" s="6">
        <f t="shared" si="2"/>
        <v>351</v>
      </c>
    </row>
    <row r="22" spans="2:8" x14ac:dyDescent="0.2">
      <c r="B22" s="5" t="s">
        <v>19</v>
      </c>
      <c r="C22" s="6">
        <v>2935</v>
      </c>
      <c r="D22" s="42">
        <v>2917</v>
      </c>
      <c r="E22" s="6">
        <f t="shared" si="0"/>
        <v>18</v>
      </c>
      <c r="F22" s="23">
        <f t="shared" si="1"/>
        <v>0.61707233459033251</v>
      </c>
      <c r="G22" s="42">
        <v>3008</v>
      </c>
      <c r="H22" s="6">
        <f t="shared" si="2"/>
        <v>-73</v>
      </c>
    </row>
    <row r="23" spans="2:8" x14ac:dyDescent="0.2">
      <c r="B23" s="5" t="s">
        <v>20</v>
      </c>
      <c r="C23" s="6">
        <v>1234</v>
      </c>
      <c r="D23" s="42">
        <v>1215</v>
      </c>
      <c r="E23" s="6">
        <f t="shared" si="0"/>
        <v>19</v>
      </c>
      <c r="F23" s="23">
        <f t="shared" si="1"/>
        <v>1.5637860082304527</v>
      </c>
      <c r="G23" s="42">
        <v>1196</v>
      </c>
      <c r="H23" s="6">
        <f t="shared" si="2"/>
        <v>38</v>
      </c>
    </row>
    <row r="24" spans="2:8" x14ac:dyDescent="0.2">
      <c r="B24" s="5" t="s">
        <v>21</v>
      </c>
      <c r="C24" s="6">
        <v>887</v>
      </c>
      <c r="D24" s="42">
        <v>871</v>
      </c>
      <c r="E24" s="6">
        <f t="shared" si="0"/>
        <v>16</v>
      </c>
      <c r="F24" s="23">
        <f t="shared" si="1"/>
        <v>1.8369690011481057</v>
      </c>
      <c r="G24" s="42">
        <v>767</v>
      </c>
      <c r="H24" s="6">
        <f t="shared" si="2"/>
        <v>120</v>
      </c>
    </row>
    <row r="25" spans="2:8" x14ac:dyDescent="0.2">
      <c r="B25" s="5" t="s">
        <v>22</v>
      </c>
      <c r="C25" s="6">
        <v>2355</v>
      </c>
      <c r="D25" s="42">
        <v>2338</v>
      </c>
      <c r="E25" s="6">
        <f t="shared" si="0"/>
        <v>17</v>
      </c>
      <c r="F25" s="23">
        <f t="shared" si="1"/>
        <v>0.72711719418306242</v>
      </c>
      <c r="G25" s="42">
        <v>2240</v>
      </c>
      <c r="H25" s="6">
        <f t="shared" si="2"/>
        <v>115</v>
      </c>
    </row>
    <row r="26" spans="2:8" x14ac:dyDescent="0.2">
      <c r="B26" s="5" t="s">
        <v>23</v>
      </c>
      <c r="C26" s="6">
        <v>5083</v>
      </c>
      <c r="D26" s="42">
        <v>4981</v>
      </c>
      <c r="E26" s="6">
        <f t="shared" si="0"/>
        <v>102</v>
      </c>
      <c r="F26" s="23">
        <f t="shared" si="1"/>
        <v>2.0477815699658701</v>
      </c>
      <c r="G26" s="42">
        <v>4933</v>
      </c>
      <c r="H26" s="6">
        <f t="shared" si="2"/>
        <v>150</v>
      </c>
    </row>
    <row r="27" spans="2:8" x14ac:dyDescent="0.2">
      <c r="B27" s="5" t="s">
        <v>24</v>
      </c>
      <c r="C27" s="6">
        <v>1035</v>
      </c>
      <c r="D27" s="42">
        <v>1010</v>
      </c>
      <c r="E27" s="6">
        <f>SUM(C27)-D27</f>
        <v>25</v>
      </c>
      <c r="F27" s="23">
        <f>SUM(E27/D27)*100</f>
        <v>2.4752475247524752</v>
      </c>
      <c r="G27" s="42">
        <v>1034</v>
      </c>
      <c r="H27" s="6">
        <f t="shared" si="2"/>
        <v>1</v>
      </c>
    </row>
    <row r="28" spans="2:8" ht="15" x14ac:dyDescent="0.25">
      <c r="B28" s="39" t="s">
        <v>25</v>
      </c>
      <c r="C28" s="40">
        <f>SUM(C3:C27)</f>
        <v>65487</v>
      </c>
      <c r="D28" s="41">
        <f>SUM(D3:D27)</f>
        <v>64974</v>
      </c>
      <c r="E28" s="40">
        <f>SUM(C28)-D28</f>
        <v>513</v>
      </c>
      <c r="F28" s="45">
        <f>SUM(E28/D28)*100</f>
        <v>0.78954658786591569</v>
      </c>
      <c r="G28" s="41">
        <f>SUM(G3:G27)</f>
        <v>63814</v>
      </c>
      <c r="H28" s="40">
        <f>SUM(C28)-G28</f>
        <v>1673</v>
      </c>
    </row>
    <row r="29" spans="2:8" x14ac:dyDescent="0.2">
      <c r="E29" s="19"/>
      <c r="F29" s="19"/>
      <c r="G29" s="19"/>
      <c r="H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J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570312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5" style="3" customWidth="1"/>
    <col min="26" max="26" width="9" style="3" customWidth="1"/>
    <col min="27" max="27" width="16" style="3" customWidth="1"/>
    <col min="28" max="28" width="13.28515625" style="3" customWidth="1"/>
    <col min="29" max="29" width="4.42578125" style="3" customWidth="1"/>
    <col min="30" max="30" width="6.5703125" style="3" customWidth="1"/>
    <col min="31" max="31" width="16.140625" style="3" customWidth="1"/>
    <col min="32" max="32" width="15.85546875" style="3" customWidth="1"/>
    <col min="33" max="33" width="2.7109375" style="3" customWidth="1"/>
    <col min="34" max="34" width="7" style="3" customWidth="1"/>
    <col min="35" max="36" width="15.28515625" style="3" customWidth="1"/>
    <col min="37" max="16384" width="9.140625" style="3"/>
  </cols>
  <sheetData>
    <row r="1" spans="2:36" ht="45.75" customHeight="1" x14ac:dyDescent="0.2">
      <c r="B1" s="2" t="s">
        <v>32</v>
      </c>
      <c r="V1" s="190" t="s">
        <v>74</v>
      </c>
      <c r="W1" s="190"/>
      <c r="X1" s="190"/>
      <c r="Y1" s="171"/>
      <c r="Z1" s="190" t="s">
        <v>72</v>
      </c>
      <c r="AA1" s="190"/>
      <c r="AB1" s="190"/>
      <c r="AC1" s="171"/>
      <c r="AD1" s="170" t="s">
        <v>73</v>
      </c>
    </row>
    <row r="2" spans="2:36" ht="15" x14ac:dyDescent="0.2">
      <c r="C2" s="20"/>
      <c r="D2" s="21"/>
      <c r="W2" s="20"/>
      <c r="X2" s="21"/>
      <c r="Y2" s="21"/>
      <c r="Z2" s="21"/>
      <c r="AA2" s="21"/>
      <c r="AB2" s="21"/>
      <c r="AE2" s="20"/>
      <c r="AF2" s="21"/>
    </row>
    <row r="3" spans="2:36" ht="69" customHeight="1" x14ac:dyDescent="0.2">
      <c r="B3" s="43" t="s">
        <v>42</v>
      </c>
      <c r="C3" s="36" t="str">
        <f>T('1bzr.'!B2)</f>
        <v>powiaty</v>
      </c>
      <c r="D3" s="37" t="str">
        <f>T('1bzr.'!C2)</f>
        <v>liczba bezrobotnych ogółem stan na 30-06-'25 r.</v>
      </c>
      <c r="E3" s="38" t="str">
        <f>T('1bzr.'!D2)</f>
        <v>liczba bezrobotnych ogółem stan na 31-05-'25 r.</v>
      </c>
      <c r="F3" s="37" t="str">
        <f>T('1bzr.'!E2)</f>
        <v>wzrost/spadek do miesiąca poprzedniego</v>
      </c>
      <c r="G3" s="38" t="str">
        <f>T('1bzr.'!G2)</f>
        <v>liczba bezrobotnych ogółem stan na 30-06-'24 r.</v>
      </c>
      <c r="H3" s="37" t="str">
        <f>T('1bzr.'!H2)</f>
        <v>wzrost/spadek do analogicznego okresu ubr.</v>
      </c>
      <c r="V3" s="172" t="s">
        <v>42</v>
      </c>
      <c r="W3" s="173" t="str">
        <f>T('1bzr.'!B2)</f>
        <v>powiaty</v>
      </c>
      <c r="X3" s="174" t="str">
        <f>T('1bzr.'!E2)</f>
        <v>wzrost/spadek do miesiąca poprzedniego</v>
      </c>
      <c r="Y3" s="122"/>
      <c r="Z3" s="172" t="s">
        <v>42</v>
      </c>
      <c r="AA3" s="172" t="s">
        <v>27</v>
      </c>
      <c r="AB3" s="175" t="str">
        <f>MID(E3,35,10)</f>
        <v xml:space="preserve"> 31-05-'25</v>
      </c>
      <c r="AD3" s="176" t="s">
        <v>42</v>
      </c>
      <c r="AE3" s="177" t="str">
        <f>T('1bzr.'!B2)</f>
        <v>powiaty</v>
      </c>
      <c r="AF3" s="177" t="str">
        <f>T('1bzr.'!C2)</f>
        <v>liczba bezrobotnych ogółem stan na 30-06-'25 r.</v>
      </c>
      <c r="AH3" s="176" t="s">
        <v>42</v>
      </c>
      <c r="AI3" s="177" t="str">
        <f>T('1bzr.'!B2)</f>
        <v>powiaty</v>
      </c>
      <c r="AJ3" s="177" t="str">
        <f>T('1bzr.'!C2)</f>
        <v>liczba bezrobotnych ogółem stan na 30-06-'25 r.</v>
      </c>
    </row>
    <row r="4" spans="2:36" x14ac:dyDescent="0.2">
      <c r="B4" s="6">
        <f>RANK('1bzr.'!C3,'1bzr.'!$C$3:'1bzr.'!$C$28,1)+COUNTIF('1bzr.'!$C$3:'1bzr.'!C3,'1bzr.'!C3)-1</f>
        <v>2</v>
      </c>
      <c r="C4" s="5" t="str">
        <f>INDEX('1bzr.'!B3:H28,MATCH(1,B4:B29,0),1)</f>
        <v>Krosno</v>
      </c>
      <c r="D4" s="24">
        <f>INDEX('1bzr.'!B3:H28,MATCH(1,B4:B29,0),2)</f>
        <v>887</v>
      </c>
      <c r="E4" s="42">
        <f>INDEX('1bzr.'!B3:H28,MATCH(1,B4:B29,0),3)</f>
        <v>871</v>
      </c>
      <c r="F4" s="6">
        <f>INDEX('1bzr.'!B3:H28,MATCH(1,B4:B29,0),4)</f>
        <v>16</v>
      </c>
      <c r="G4" s="42">
        <f>INDEX('1bzr.'!B3:H28,MATCH(1,B4:B29,0),6)</f>
        <v>767</v>
      </c>
      <c r="H4" s="6">
        <f>INDEX('1bzr.'!B3:H28,MATCH(1,B4:B29,0),7)</f>
        <v>120</v>
      </c>
      <c r="V4" s="163">
        <f>RANK('1bzr.'!E3,'1bzr.'!$E$3:'1bzr.'!$E$28,1)+COUNTIF('1bzr.'!$E$3:'1bzr.'!E3,'1bzr.'!E3)-1</f>
        <v>4</v>
      </c>
      <c r="W4" s="165" t="str">
        <f>INDEX('1bzr.'!B3:H28,MATCH(1,V4:V29,0),1)</f>
        <v>łańcucki</v>
      </c>
      <c r="X4" s="166">
        <f>INDEX('1bzr.'!E3:H28,MATCH(1,V4:V29,0),1)</f>
        <v>-58</v>
      </c>
      <c r="Y4" s="164"/>
      <c r="Z4" s="168">
        <f>RANK('1bzr.'!F3,'1bzr.'!$F$3:'1bzr.'!$F$28,1)+COUNTIF('1bzr.'!$F$3:'1bzr.'!F3,'1bzr.'!F3)-1</f>
        <v>3</v>
      </c>
      <c r="AA4" s="169" t="str">
        <f>INDEX('1bzr.'!B3:H28,MATCH(1,Z4:Z29,0),1)</f>
        <v>łańcucki</v>
      </c>
      <c r="AB4" s="8">
        <f>INDEX('1bzr.'!D3:H28,MATCH(1,Z4:Z29,0),3)</f>
        <v>-2.4359512809743809</v>
      </c>
      <c r="AC4" s="2"/>
      <c r="AD4" s="6">
        <f>RANK('1bzr.'!C3,'1bzr.'!$C$3:'1bzr.'!$C$28,1)+COUNTIF('1bzr.'!$C$3:'1bzr.'!C3,'1bzr.'!C3)-1</f>
        <v>2</v>
      </c>
      <c r="AE4" s="121" t="str">
        <f>INDEX('1bzr.'!B3:H28,MATCH(25,AD4:AD29,0),1)</f>
        <v>Rzeszów</v>
      </c>
      <c r="AF4" s="6">
        <f>INDEX('1bzr.'!B3:H28,MATCH(25,AD4:AD29,0),2)</f>
        <v>5083</v>
      </c>
      <c r="AH4" s="6">
        <f>RANK('1bzr.'!C3,'1bzr.'!$C$3:'1bzr.'!$C$28,1)+COUNTIF('1bzr.'!$C$3:'1bzr.'!C3,'1bzr.'!C3)-1</f>
        <v>2</v>
      </c>
      <c r="AI4" s="121" t="str">
        <f>INDEX('1bzr.'!B3:H28,MATCH(1,AH4:AH29,0),1)</f>
        <v>Krosno</v>
      </c>
      <c r="AJ4" s="6">
        <f>INDEX('1bzr.'!B3:L28,MATCH(1,AH4:AH29,0),2)</f>
        <v>887</v>
      </c>
    </row>
    <row r="5" spans="2:36" x14ac:dyDescent="0.2">
      <c r="B5" s="6">
        <f>RANK('1bzr.'!C4,'1bzr.'!$C$3:'1bzr.'!$C$28,1)+COUNTIF('1bzr.'!$C$3:'1bzr.'!C4,'1bzr.'!C4)-1</f>
        <v>21</v>
      </c>
      <c r="C5" s="5" t="str">
        <f>INDEX('1bzr.'!B3:H28,MATCH(2,B4:B29,0),1)</f>
        <v>bieszczadzki</v>
      </c>
      <c r="D5" s="6">
        <f>INDEX('1bzr.'!B3:H28,MATCH(2,B4:B29,0),2)</f>
        <v>982</v>
      </c>
      <c r="E5" s="42">
        <f>INDEX('1bzr.'!B3:H28,MATCH(2,B4:B29,0),3)</f>
        <v>992</v>
      </c>
      <c r="F5" s="6">
        <f>INDEX('1bzr.'!B3:H28,MATCH(2,B4:B29,0),4)</f>
        <v>-10</v>
      </c>
      <c r="G5" s="42">
        <f>INDEX('1bzr.'!B3:H28,MATCH(2,B4:B29,0),6)</f>
        <v>1031</v>
      </c>
      <c r="H5" s="6">
        <f>INDEX('1bzr.'!B3:H28,MATCH(2,B4:B29,0),7)</f>
        <v>-49</v>
      </c>
      <c r="V5" s="163">
        <f>RANK('1bzr.'!E4,'1bzr.'!$E$3:'1bzr.'!$E$28,1)+COUNTIF('1bzr.'!$E$3:'1bzr.'!E4,'1bzr.'!E4)-1</f>
        <v>2</v>
      </c>
      <c r="W5" s="165" t="str">
        <f>INDEX('1bzr.'!B3:H28,MATCH(2,V4:V29,0),1)</f>
        <v>brzozowski</v>
      </c>
      <c r="X5" s="163">
        <f>INDEX('1bzr.'!E3:H28,MATCH(2,V4:V29,0),1)</f>
        <v>-38</v>
      </c>
      <c r="Y5" s="134">
        <v>1</v>
      </c>
      <c r="Z5" s="168">
        <f>RANK('1bzr.'!F4,'1bzr.'!$F$3:'1bzr.'!$F$28,1)+COUNTIF('1bzr.'!$F$3:'1bzr.'!F4,'1bzr.'!F4)-1</f>
        <v>2</v>
      </c>
      <c r="AA5" s="169" t="str">
        <f>INDEX('1bzr.'!B3:G28,MATCH(2,Z4:Z29,0),1)</f>
        <v>brzozowski</v>
      </c>
      <c r="AB5" s="8">
        <f>INDEX('1bzr.'!D3:H28,MATCH(2,Z4:Z29,0),3)</f>
        <v>-1.0888252148997135</v>
      </c>
      <c r="AC5" s="2"/>
      <c r="AD5" s="6">
        <f>RANK('1bzr.'!C4,'1bzr.'!$C$3:'1bzr.'!$C$28,1)+COUNTIF('1bzr.'!$C$3:'1bzr.'!C4,'1bzr.'!C4)-1</f>
        <v>21</v>
      </c>
      <c r="AE5" s="121" t="str">
        <f>INDEX('1bzr.'!B3:H28,MATCH(24,AD4:AD29,0),1)</f>
        <v>jasielski</v>
      </c>
      <c r="AF5" s="6">
        <f>INDEX('1bzr.'!B3:L28,MATCH(24,AD4:AD29,0),2)</f>
        <v>4650</v>
      </c>
      <c r="AH5" s="6">
        <f>RANK('1bzr.'!C4,'1bzr.'!$C$3:'1bzr.'!$C$28,1)+COUNTIF('1bzr.'!$C$3:'1bzr.'!C4,'1bzr.'!C4)-1</f>
        <v>21</v>
      </c>
      <c r="AI5" s="121" t="str">
        <f>INDEX('1bzr.'!B3:H28,MATCH(2,AH4:AH29,0),1)</f>
        <v>bieszczadzki</v>
      </c>
      <c r="AJ5" s="6">
        <f>INDEX('1bzr.'!B3:L28,MATCH(2,AH4:AH29,0),2)</f>
        <v>982</v>
      </c>
    </row>
    <row r="6" spans="2:36" x14ac:dyDescent="0.2">
      <c r="B6" s="6">
        <f>RANK('1bzr.'!C5,'1bzr.'!$C$3:'1bzr.'!$C$28,1)+COUNTIF('1bzr.'!$C$3:'1bzr.'!C5,'1bzr.'!C5)-1</f>
        <v>9</v>
      </c>
      <c r="C6" s="5" t="str">
        <f>INDEX('1bzr.'!B3:H28,MATCH(3,B4:B29,0),1)</f>
        <v>Tarnobrzeg</v>
      </c>
      <c r="D6" s="6">
        <f>INDEX('1bzr.'!B3:H28,MATCH(3,B4:B29,0),2)</f>
        <v>1035</v>
      </c>
      <c r="E6" s="42">
        <f>INDEX('1bzr.'!B3:H28,MATCH(3,B4:B29,0),3)</f>
        <v>1010</v>
      </c>
      <c r="F6" s="6">
        <f>INDEX('1bzr.'!B3:H28,MATCH(3,B4:B29,0),4)</f>
        <v>25</v>
      </c>
      <c r="G6" s="42">
        <f>INDEX('1bzr.'!B3:H28,MATCH(3,B4:B29,0),6)</f>
        <v>1034</v>
      </c>
      <c r="H6" s="6">
        <f>INDEX('1bzr.'!B3:H28,MATCH(3,B4:B29,0),7)</f>
        <v>1</v>
      </c>
      <c r="V6" s="163">
        <f>RANK('1bzr.'!E5,'1bzr.'!$E$3:'1bzr.'!$E$28,1)+COUNTIF('1bzr.'!$E$3:'1bzr.'!E5,'1bzr.'!E5)-1</f>
        <v>23</v>
      </c>
      <c r="W6" s="184" t="str">
        <f>INDEX('1bzr.'!B3:H28,MATCH(3,V4:V29,0),1)</f>
        <v>sanocki</v>
      </c>
      <c r="X6" s="163">
        <f>INDEX('1bzr.'!E3:H28,MATCH(3,V4:V29,0),1)</f>
        <v>-20</v>
      </c>
      <c r="Y6" s="134">
        <v>2</v>
      </c>
      <c r="Z6" s="168">
        <f>RANK('1bzr.'!F5,'1bzr.'!$F$3:'1bzr.'!$F$28,1)+COUNTIF('1bzr.'!$F$3:'1bzr.'!F5,'1bzr.'!F5)-1</f>
        <v>25</v>
      </c>
      <c r="AA6" s="169" t="str">
        <f>INDEX('1bzr.'!B3:G28,MATCH(3,Z4:Z29,0),1)</f>
        <v>bieszczadzki</v>
      </c>
      <c r="AB6" s="8">
        <f>INDEX('1bzr.'!D3:H28,MATCH(3,Z4:Z29,0),3)</f>
        <v>-1.0080645161290323</v>
      </c>
      <c r="AC6" s="2"/>
      <c r="AD6" s="6">
        <f>RANK('1bzr.'!C5,'1bzr.'!$C$3:'1bzr.'!$C$28,1)+COUNTIF('1bzr.'!$C$3:'1bzr.'!C5,'1bzr.'!C5)-1</f>
        <v>9</v>
      </c>
      <c r="AE6" s="121" t="str">
        <f>INDEX('1bzr.'!B3:H28,MATCH(23,AD4:AD29,0),1)</f>
        <v>rzeszowski</v>
      </c>
      <c r="AF6" s="6">
        <f>INDEX('1bzr.'!B3:L28,MATCH(23,AD4:AD29,0),2)</f>
        <v>4507</v>
      </c>
      <c r="AH6" s="6">
        <f>RANK('1bzr.'!C5,'1bzr.'!$C$3:'1bzr.'!$C$28,1)+COUNTIF('1bzr.'!$C$3:'1bzr.'!C5,'1bzr.'!C5)-1</f>
        <v>9</v>
      </c>
      <c r="AI6" s="121" t="str">
        <f>INDEX('1bzr.'!B3:H28,MATCH(3,AH4:AH29,0),1)</f>
        <v>Tarnobrzeg</v>
      </c>
      <c r="AJ6" s="6">
        <f>INDEX('1bzr.'!B3:L28,MATCH(3,AH4:AH29,0),2)</f>
        <v>1035</v>
      </c>
    </row>
    <row r="7" spans="2:36" x14ac:dyDescent="0.2">
      <c r="B7" s="6">
        <f>RANK('1bzr.'!C6,'1bzr.'!$C$3:'1bzr.'!$C$28,1)+COUNTIF('1bzr.'!$C$3:'1bzr.'!C6,'1bzr.'!C6)-1</f>
        <v>22</v>
      </c>
      <c r="C7" s="5" t="str">
        <f>INDEX('1bzr.'!B3:H28,MATCH(4,B4:B29,0),1)</f>
        <v xml:space="preserve">tarnobrzeski </v>
      </c>
      <c r="D7" s="6">
        <f>INDEX('1bzr.'!B3:H28,MATCH(4,B4:B29,0),2)</f>
        <v>1234</v>
      </c>
      <c r="E7" s="42">
        <f>INDEX('1bzr.'!B3:H28,MATCH(4,B4:B29,0),3)</f>
        <v>1215</v>
      </c>
      <c r="F7" s="6">
        <f>INDEX('1bzr.'!B3:H28,MATCH(4,B4:B29,0),4)</f>
        <v>19</v>
      </c>
      <c r="G7" s="42">
        <f>INDEX('1bzr.'!B3:H28,MATCH(4,B4:B29,0),6)</f>
        <v>1196</v>
      </c>
      <c r="H7" s="6">
        <f>INDEX('1bzr.'!B3:H28,MATCH(4,B4:B29,0),7)</f>
        <v>38</v>
      </c>
      <c r="V7" s="163">
        <f>RANK('1bzr.'!E6,'1bzr.'!$E$3:'1bzr.'!$E$28,1)+COUNTIF('1bzr.'!$E$3:'1bzr.'!E6,'1bzr.'!E6)-1</f>
        <v>8</v>
      </c>
      <c r="W7" s="184" t="str">
        <f>INDEX('1bzr.'!B3:H28,MATCH(4,V4:V29,0),1)</f>
        <v>bieszczadzki</v>
      </c>
      <c r="X7" s="163">
        <f>INDEX('1bzr.'!E3:H28,MATCH(4,V4:V29,0),1)</f>
        <v>-10</v>
      </c>
      <c r="Y7" s="134">
        <v>3</v>
      </c>
      <c r="Z7" s="168">
        <f>RANK('1bzr.'!F6,'1bzr.'!$F$3:'1bzr.'!$F$28,1)+COUNTIF('1bzr.'!$F$3:'1bzr.'!F6,'1bzr.'!F6)-1</f>
        <v>8</v>
      </c>
      <c r="AA7" s="169" t="str">
        <f>INDEX('1bzr.'!B3:G28,MATCH(4,Z4:Z29,0),1)</f>
        <v>sanocki</v>
      </c>
      <c r="AB7" s="8">
        <f>INDEX('1bzr.'!D3:H28,MATCH(4,Z4:Z29,0),3)</f>
        <v>-0.69954529555788736</v>
      </c>
      <c r="AC7" s="2"/>
      <c r="AD7" s="6">
        <f>RANK('1bzr.'!C6,'1bzr.'!$C$3:'1bzr.'!$C$28,1)+COUNTIF('1bzr.'!$C$3:'1bzr.'!C6,'1bzr.'!C6)-1</f>
        <v>22</v>
      </c>
      <c r="AE7" s="121" t="str">
        <f>INDEX('1bzr.'!B3:H28,MATCH(22,AD4:AD29,0),1)</f>
        <v>jarosławski</v>
      </c>
      <c r="AF7" s="6">
        <f>INDEX('1bzr.'!B3:L28,MATCH(22,AD4:AD29,0),2)</f>
        <v>4380</v>
      </c>
      <c r="AH7" s="6">
        <f>RANK('1bzr.'!C6,'1bzr.'!$C$3:'1bzr.'!$C$28,1)+COUNTIF('1bzr.'!$C$3:'1bzr.'!C6,'1bzr.'!C6)-1</f>
        <v>22</v>
      </c>
      <c r="AI7" s="121" t="str">
        <f>INDEX('1bzr.'!B3:H28,MATCH(4,AH4:AH29,0),1)</f>
        <v xml:space="preserve">tarnobrzeski </v>
      </c>
      <c r="AJ7" s="6">
        <f>INDEX('1bzr.'!B3:L28,MATCH(4,AH4:AH29,0),2)</f>
        <v>1234</v>
      </c>
    </row>
    <row r="8" spans="2:36" x14ac:dyDescent="0.2">
      <c r="B8" s="6">
        <f>RANK('1bzr.'!C7,'1bzr.'!$C$3:'1bzr.'!$C$28,1)+COUNTIF('1bzr.'!$C$3:'1bzr.'!C7,'1bzr.'!C7)-1</f>
        <v>24</v>
      </c>
      <c r="C8" s="5" t="str">
        <f>INDEX('1bzr.'!B3:H28,MATCH(5,B4:B29,0),1)</f>
        <v>kolbuszowski</v>
      </c>
      <c r="D8" s="6">
        <f>INDEX('1bzr.'!B3:H28,MATCH(5,B4:B29,0),2)</f>
        <v>1480</v>
      </c>
      <c r="E8" s="42">
        <f>INDEX('1bzr.'!B3:H28,MATCH(5,B4:B29,0),3)</f>
        <v>1476</v>
      </c>
      <c r="F8" s="6">
        <f>INDEX('1bzr.'!B3:H28,MATCH(5,B4:B29,0),4)</f>
        <v>4</v>
      </c>
      <c r="G8" s="42">
        <f>INDEX('1bzr.'!B3:H28,MATCH(5,B4:B29,0),6)</f>
        <v>1509</v>
      </c>
      <c r="H8" s="6">
        <f>INDEX('1bzr.'!B3:H28,MATCH(5,B4:B29,0),7)</f>
        <v>-29</v>
      </c>
      <c r="V8" s="163">
        <f>RANK('1bzr.'!E7,'1bzr.'!$E$3:'1bzr.'!$E$28,1)+COUNTIF('1bzr.'!$E$3:'1bzr.'!E7,'1bzr.'!E7)-1</f>
        <v>9</v>
      </c>
      <c r="W8" s="184" t="str">
        <f>INDEX('1bzr.'!B3:H28,MATCH(5,V4:V29,0),1)</f>
        <v>leski</v>
      </c>
      <c r="X8" s="163">
        <f>INDEX('1bzr.'!E3:H28,MATCH(5,V4:V29,0),1)</f>
        <v>-9</v>
      </c>
      <c r="Y8" s="134">
        <v>4</v>
      </c>
      <c r="Z8" s="168">
        <f>RANK('1bzr.'!F7,'1bzr.'!$F$3:'1bzr.'!$F$28,1)+COUNTIF('1bzr.'!$F$3:'1bzr.'!F7,'1bzr.'!F7)-1</f>
        <v>9</v>
      </c>
      <c r="AA8" s="169" t="str">
        <f>INDEX('1bzr.'!B3:G28,MATCH(5,Z4:Z29,0),1)</f>
        <v>leski</v>
      </c>
      <c r="AB8" s="8">
        <f>INDEX('1bzr.'!D3:H28,MATCH(5,Z4:Z29,0),3)</f>
        <v>-0.58785107772697576</v>
      </c>
      <c r="AC8" s="2"/>
      <c r="AD8" s="6">
        <f>RANK('1bzr.'!C7,'1bzr.'!$C$3:'1bzr.'!$C$28,1)+COUNTIF('1bzr.'!$C$3:'1bzr.'!C7,'1bzr.'!C7)-1</f>
        <v>24</v>
      </c>
      <c r="AE8" s="121" t="str">
        <f>INDEX('1bzr.'!B3:H28,MATCH(21,AD4:AD29,0),1)</f>
        <v>brzozowski</v>
      </c>
      <c r="AF8" s="6">
        <f>INDEX('1bzr.'!B3:L28,MATCH(21,AD4:AD29,0),2)</f>
        <v>3452</v>
      </c>
      <c r="AH8" s="6">
        <f>RANK('1bzr.'!C7,'1bzr.'!$C$3:'1bzr.'!$C$28,1)+COUNTIF('1bzr.'!$C$3:'1bzr.'!C7,'1bzr.'!C7)-1</f>
        <v>24</v>
      </c>
      <c r="AI8" s="121" t="str">
        <f>INDEX('1bzr.'!B3:H28,MATCH(5,AH4:AH29,0),1)</f>
        <v>kolbuszowski</v>
      </c>
      <c r="AJ8" s="6">
        <f>INDEX('1bzr.'!B3:L28,MATCH(5,AH4:AH29,0),2)</f>
        <v>1480</v>
      </c>
    </row>
    <row r="9" spans="2:36" x14ac:dyDescent="0.2">
      <c r="B9" s="6">
        <f>RANK('1bzr.'!C8,'1bzr.'!$C$3:'1bzr.'!$C$28,1)+COUNTIF('1bzr.'!$C$3:'1bzr.'!C8,'1bzr.'!C8)-1</f>
        <v>5</v>
      </c>
      <c r="C9" s="5" t="str">
        <f>INDEX('1bzr.'!B3:H28,MATCH(6,B4:B29,0),1)</f>
        <v>leski</v>
      </c>
      <c r="D9" s="6">
        <f>INDEX('1bzr.'!B3:H28,MATCH(6,B4:B29,0),2)</f>
        <v>1522</v>
      </c>
      <c r="E9" s="42">
        <f>INDEX('1bzr.'!B3:H28,MATCH(6,B4:B29,0),3)</f>
        <v>1531</v>
      </c>
      <c r="F9" s="6">
        <f>INDEX('1bzr.'!B3:H28,MATCH(6,B4:B29,0),4)</f>
        <v>-9</v>
      </c>
      <c r="G9" s="42">
        <f>INDEX('1bzr.'!B3:H28,MATCH(6,B4:B29,0),6)</f>
        <v>1531</v>
      </c>
      <c r="H9" s="6">
        <f>INDEX('1bzr.'!B3:H28,MATCH(6,B4:B29,0),7)</f>
        <v>-9</v>
      </c>
      <c r="V9" s="6">
        <f>RANK('1bzr.'!E8,'1bzr.'!$E$3:'1bzr.'!$E$28,1)+COUNTIF('1bzr.'!$E$3:'1bzr.'!E8,'1bzr.'!E8)-1</f>
        <v>7</v>
      </c>
      <c r="W9" s="135" t="str">
        <f>INDEX('1bzr.'!B3:H28,MATCH(6,V4:V29,0),1)</f>
        <v>niżański</v>
      </c>
      <c r="X9" s="6">
        <f>INDEX('1bzr.'!E3:H28,MATCH(6,V4:V29,0),1)</f>
        <v>3</v>
      </c>
      <c r="Y9" s="134">
        <v>5</v>
      </c>
      <c r="Z9" s="168">
        <f>RANK('1bzr.'!F8,'1bzr.'!$F$3:'1bzr.'!$F$28,1)+COUNTIF('1bzr.'!$F$3:'1bzr.'!F8,'1bzr.'!F8)-1</f>
        <v>7</v>
      </c>
      <c r="AA9" s="169" t="str">
        <f>INDEX('1bzr.'!B3:G28,MATCH(6,Z4:Z29,0),1)</f>
        <v>niżański</v>
      </c>
      <c r="AB9" s="8">
        <f>INDEX('1bzr.'!D3:H28,MATCH(6,Z4:Z29,0),3)</f>
        <v>0.10710460549803642</v>
      </c>
      <c r="AC9" s="2"/>
      <c r="AD9" s="6">
        <f>RANK('1bzr.'!C8,'1bzr.'!$C$3:'1bzr.'!$C$28,1)+COUNTIF('1bzr.'!$C$3:'1bzr.'!C8,'1bzr.'!C8)-1</f>
        <v>5</v>
      </c>
      <c r="AE9" s="121" t="str">
        <f>INDEX('1bzr.'!B3:H28,MATCH(20,AD4:AD29,0),1)</f>
        <v>przeworski</v>
      </c>
      <c r="AF9" s="6">
        <f>INDEX('1bzr.'!B3:L28,MATCH(20,AD4:AD29,0),2)</f>
        <v>3277</v>
      </c>
      <c r="AH9" s="6">
        <f>RANK('1bzr.'!C8,'1bzr.'!$C$3:'1bzr.'!$C$28,1)+COUNTIF('1bzr.'!$C$3:'1bzr.'!C8,'1bzr.'!C8)-1</f>
        <v>5</v>
      </c>
      <c r="AI9" s="121" t="str">
        <f>INDEX('1bzr.'!B3:H28,MATCH(6,AH4:AH29,0),1)</f>
        <v>leski</v>
      </c>
      <c r="AJ9" s="6">
        <f>INDEX('1bzr.'!B3:L28,MATCH(6,AH4:AH29,0),2)</f>
        <v>1522</v>
      </c>
    </row>
    <row r="10" spans="2:36" x14ac:dyDescent="0.2">
      <c r="B10" s="6">
        <f>RANK('1bzr.'!C9,'1bzr.'!$C$3:'1bzr.'!$C$28,1)+COUNTIF('1bzr.'!$C$3:'1bzr.'!C9,'1bzr.'!C9)-1</f>
        <v>12</v>
      </c>
      <c r="C10" s="9" t="str">
        <f>INDEX('1bzr.'!B3:H28,MATCH(7,B4:B29,0),1)</f>
        <v>lubaczowski</v>
      </c>
      <c r="D10" s="6">
        <f>INDEX('1bzr.'!B3:H28,MATCH(7,B4:B29,0),2)</f>
        <v>1528</v>
      </c>
      <c r="E10" s="42">
        <f>INDEX('1bzr.'!B3:H28,MATCH(7,B4:B29,0),3)</f>
        <v>1499</v>
      </c>
      <c r="F10" s="6">
        <f>INDEX('1bzr.'!B3:H28,MATCH(7,B4:B29,0),4)</f>
        <v>29</v>
      </c>
      <c r="G10" s="42">
        <f>INDEX('1bzr.'!B3:H28,MATCH(7,B4:B29,0),6)</f>
        <v>1586</v>
      </c>
      <c r="H10" s="6">
        <f>INDEX('1bzr.'!B3:H28,MATCH(7,B4:B29,0),7)</f>
        <v>-58</v>
      </c>
      <c r="V10" s="6">
        <f>RANK('1bzr.'!E9,'1bzr.'!$E$3:'1bzr.'!$E$28,1)+COUNTIF('1bzr.'!$E$3:'1bzr.'!E9,'1bzr.'!E9)-1</f>
        <v>19</v>
      </c>
      <c r="W10" s="140" t="str">
        <f>INDEX('1bzr.'!B3:H28,MATCH(7,V4:V29,0),1)</f>
        <v>kolbuszowski</v>
      </c>
      <c r="X10" s="6">
        <f>INDEX('1bzr.'!E3:H28,MATCH(7,V4:V29,0),1)</f>
        <v>4</v>
      </c>
      <c r="Y10" s="134">
        <v>6</v>
      </c>
      <c r="Z10" s="168">
        <f>RANK('1bzr.'!F9,'1bzr.'!$F$3:'1bzr.'!$F$28,1)+COUNTIF('1bzr.'!$F$3:'1bzr.'!F9,'1bzr.'!F9)-1</f>
        <v>18</v>
      </c>
      <c r="AA10" s="169" t="str">
        <f>INDEX('1bzr.'!B3:G28,MATCH(7,Z4:Z29,0),1)</f>
        <v>kolbuszowski</v>
      </c>
      <c r="AB10" s="8">
        <f>INDEX('1bzr.'!D3:H28,MATCH(7,Z4:Z29,0),3)</f>
        <v>0.27100271002710025</v>
      </c>
      <c r="AC10" s="2"/>
      <c r="AD10" s="6">
        <f>RANK('1bzr.'!C9,'1bzr.'!$C$3:'1bzr.'!$C$28,1)+COUNTIF('1bzr.'!$C$3:'1bzr.'!C9,'1bzr.'!C9)-1</f>
        <v>12</v>
      </c>
      <c r="AE10" s="141" t="str">
        <f>INDEX('1bzr.'!B3:H28,MATCH(19,AD4:AD29,0),1)</f>
        <v>mielecki</v>
      </c>
      <c r="AF10" s="6">
        <f>INDEX('1bzr.'!B3:L28,MATCH(19,AD4:AD29,0),2)</f>
        <v>3112</v>
      </c>
      <c r="AH10" s="6">
        <f>RANK('1bzr.'!C9,'1bzr.'!$C$3:'1bzr.'!$C$28,1)+COUNTIF('1bzr.'!$C$3:'1bzr.'!C9,'1bzr.'!C9)-1</f>
        <v>12</v>
      </c>
      <c r="AI10" s="141" t="str">
        <f>INDEX('1bzr.'!B3:H28,MATCH(7,AH4:AH29,0),1)</f>
        <v>lubaczowski</v>
      </c>
      <c r="AJ10" s="6">
        <f>INDEX('1bzr.'!B3:L28,MATCH(7,AH4:AH29,0),2)</f>
        <v>1528</v>
      </c>
    </row>
    <row r="11" spans="2:36" x14ac:dyDescent="0.2">
      <c r="B11" s="6">
        <f>RANK('1bzr.'!C10,'1bzr.'!$C$3:'1bzr.'!$C$28,1)+COUNTIF('1bzr.'!$C$3:'1bzr.'!C10,'1bzr.'!C10)-1</f>
        <v>6</v>
      </c>
      <c r="C11" s="5" t="str">
        <f>INDEX('1bzr.'!B3:H28,MATCH(8,B4:B29,0),1)</f>
        <v>stalowowolski</v>
      </c>
      <c r="D11" s="6">
        <f>INDEX('1bzr.'!B3:H28,MATCH(8,B4:B29,0),2)</f>
        <v>2211</v>
      </c>
      <c r="E11" s="42">
        <f>INDEX('1bzr.'!B3:H28,MATCH(8,B4:B29,0),3)</f>
        <v>2174</v>
      </c>
      <c r="F11" s="6">
        <f>INDEX('1bzr.'!B3:H28,MATCH(8,B4:B29,0),4)</f>
        <v>37</v>
      </c>
      <c r="G11" s="42">
        <f>INDEX('1bzr.'!B3:H28,MATCH(8,B4:B29,0),6)</f>
        <v>1860</v>
      </c>
      <c r="H11" s="6">
        <f>INDEX('1bzr.'!B3:H28,MATCH(8,B4:B29,0),7)</f>
        <v>351</v>
      </c>
      <c r="V11" s="6">
        <f>RANK('1bzr.'!E10,'1bzr.'!$E$3:'1bzr.'!$E$28,1)+COUNTIF('1bzr.'!$E$3:'1bzr.'!E10,'1bzr.'!E10)-1</f>
        <v>5</v>
      </c>
      <c r="W11" s="135" t="str">
        <f>INDEX('1bzr.'!B3:H28,MATCH(8,V4:V29,0),1)</f>
        <v>jarosławski</v>
      </c>
      <c r="X11" s="6">
        <f>INDEX('1bzr.'!E3:H28,MATCH(8,V4:V29,0),1)</f>
        <v>15</v>
      </c>
      <c r="Y11" s="134">
        <v>7</v>
      </c>
      <c r="Z11" s="168">
        <f>RANK('1bzr.'!F10,'1bzr.'!$F$3:'1bzr.'!$F$28,1)+COUNTIF('1bzr.'!$F$3:'1bzr.'!F10,'1bzr.'!F10)-1</f>
        <v>5</v>
      </c>
      <c r="AA11" s="169" t="str">
        <f>INDEX('1bzr.'!B3:G28,MATCH(8,Z4:Z29,0),1)</f>
        <v>jarosławski</v>
      </c>
      <c r="AB11" s="8">
        <f>INDEX('1bzr.'!D3:H28,MATCH(8,Z4:Z29,0),3)</f>
        <v>0.3436426116838488</v>
      </c>
      <c r="AC11" s="2"/>
      <c r="AD11" s="6">
        <f>RANK('1bzr.'!C10,'1bzr.'!$C$3:'1bzr.'!$C$28,1)+COUNTIF('1bzr.'!$C$3:'1bzr.'!C10,'1bzr.'!C10)-1</f>
        <v>6</v>
      </c>
      <c r="AE11" s="121" t="str">
        <f>INDEX('1bzr.'!B3:H28,MATCH(18,AD4:AD29,0),1)</f>
        <v>strzyżowski</v>
      </c>
      <c r="AF11" s="6">
        <f>INDEX('1bzr.'!B3:L28,MATCH(18,AD4:AD29,0),2)</f>
        <v>2935</v>
      </c>
      <c r="AH11" s="6">
        <f>RANK('1bzr.'!C10,'1bzr.'!$C$3:'1bzr.'!$C$28,1)+COUNTIF('1bzr.'!$C$3:'1bzr.'!C10,'1bzr.'!C10)-1</f>
        <v>6</v>
      </c>
      <c r="AI11" s="121" t="str">
        <f>INDEX('1bzr.'!B3:H28,MATCH(8,AH4:AH29,0),1)</f>
        <v>stalowowolski</v>
      </c>
      <c r="AJ11" s="6">
        <f>INDEX('1bzr.'!B3:L28,MATCH(8,AH4:AH29,0),2)</f>
        <v>2211</v>
      </c>
    </row>
    <row r="12" spans="2:36" x14ac:dyDescent="0.2">
      <c r="B12" s="6">
        <f>RANK('1bzr.'!C11,'1bzr.'!$C$3:'1bzr.'!$C$28,1)+COUNTIF('1bzr.'!$C$3:'1bzr.'!C11,'1bzr.'!C11)-1</f>
        <v>17</v>
      </c>
      <c r="C12" s="5" t="str">
        <f>INDEX('1bzr.'!B3:H28,MATCH(9,B4:B29,0),1)</f>
        <v>dębicki</v>
      </c>
      <c r="D12" s="6">
        <f>INDEX('1bzr.'!B3:H28,MATCH(9,B4:B29,0),2)</f>
        <v>2214</v>
      </c>
      <c r="E12" s="42">
        <f>INDEX('1bzr.'!B3:H28,MATCH(9,B4:B29,0),3)</f>
        <v>2158</v>
      </c>
      <c r="F12" s="6">
        <f>INDEX('1bzr.'!B3:H28,MATCH(9,B4:B29,0),4)</f>
        <v>56</v>
      </c>
      <c r="G12" s="42">
        <f>INDEX('1bzr.'!B3:H28,MATCH(9,B4:B29,0),6)</f>
        <v>2260</v>
      </c>
      <c r="H12" s="6">
        <f>INDEX('1bzr.'!B3:H28,MATCH(9,B4:B29,0),7)</f>
        <v>-46</v>
      </c>
      <c r="V12" s="6">
        <f>RANK('1bzr.'!E11,'1bzr.'!$E$3:'1bzr.'!$E$28,1)+COUNTIF('1bzr.'!$E$3:'1bzr.'!E11,'1bzr.'!E11)-1</f>
        <v>20</v>
      </c>
      <c r="W12" s="135" t="str">
        <f>INDEX('1bzr.'!B3:H28,MATCH(9,V4:V29,0),1)</f>
        <v>jasielski</v>
      </c>
      <c r="X12" s="6">
        <f>INDEX('1bzr.'!E3:H28,MATCH(9,V4:V29,0),1)</f>
        <v>16</v>
      </c>
      <c r="Y12" s="134">
        <v>8</v>
      </c>
      <c r="Z12" s="168">
        <f>RANK('1bzr.'!F11,'1bzr.'!$F$3:'1bzr.'!$F$28,1)+COUNTIF('1bzr.'!$F$3:'1bzr.'!F11,'1bzr.'!F11)-1</f>
        <v>17</v>
      </c>
      <c r="AA12" s="169" t="str">
        <f>INDEX('1bzr.'!B3:G28,MATCH(9,Z4:Z29,0),1)</f>
        <v>jasielski</v>
      </c>
      <c r="AB12" s="8">
        <f>INDEX('1bzr.'!D3:H28,MATCH(9,Z4:Z29,0),3)</f>
        <v>0.34527406128614591</v>
      </c>
      <c r="AC12" s="2"/>
      <c r="AD12" s="6">
        <f>RANK('1bzr.'!C11,'1bzr.'!$C$3:'1bzr.'!$C$28,1)+COUNTIF('1bzr.'!$C$3:'1bzr.'!C11,'1bzr.'!C11)-1</f>
        <v>17</v>
      </c>
      <c r="AE12" s="121" t="str">
        <f>INDEX('1bzr.'!B3:H28,MATCH(17,AD4:AD29,0),1)</f>
        <v>leżajski</v>
      </c>
      <c r="AF12" s="6">
        <f>INDEX('1bzr.'!B3:L28,MATCH(17,AD4:AD29,0),2)</f>
        <v>2840</v>
      </c>
      <c r="AH12" s="6">
        <f>RANK('1bzr.'!C11,'1bzr.'!$C$3:'1bzr.'!$C$28,1)+COUNTIF('1bzr.'!$C$3:'1bzr.'!C11,'1bzr.'!C11)-1</f>
        <v>17</v>
      </c>
      <c r="AI12" s="121" t="str">
        <f>INDEX('1bzr.'!B3:H28,MATCH(9,AH4:AH29,0),1)</f>
        <v>dębicki</v>
      </c>
      <c r="AJ12" s="6">
        <f>INDEX('1bzr.'!B3:L28,MATCH(9,AH4:AH29,0),2)</f>
        <v>2214</v>
      </c>
    </row>
    <row r="13" spans="2:36" x14ac:dyDescent="0.2">
      <c r="B13" s="6">
        <f>RANK('1bzr.'!C12,'1bzr.'!$C$3:'1bzr.'!$C$28,1)+COUNTIF('1bzr.'!$C$3:'1bzr.'!C12,'1bzr.'!C12)-1</f>
        <v>7</v>
      </c>
      <c r="C13" s="5" t="str">
        <f>INDEX('1bzr.'!B3:H28,MATCH(10,B4:B29,0),1)</f>
        <v>łańcucki</v>
      </c>
      <c r="D13" s="6">
        <f>INDEX('1bzr.'!B3:H28,MATCH(10,B4:B29,0),2)</f>
        <v>2323</v>
      </c>
      <c r="E13" s="42">
        <f>INDEX('1bzr.'!B3:H28,MATCH(10,B4:B29,0),3)</f>
        <v>2381</v>
      </c>
      <c r="F13" s="6">
        <f>INDEX('1bzr.'!B3:H28,MATCH(10,B4:B29,0),4)</f>
        <v>-58</v>
      </c>
      <c r="G13" s="42">
        <f>INDEX('1bzr.'!B3:H28,MATCH(10,B4:B29,0),6)</f>
        <v>2401</v>
      </c>
      <c r="H13" s="6">
        <f>INDEX('1bzr.'!B3:H28,MATCH(10,B4:B29,0),7)</f>
        <v>-78</v>
      </c>
      <c r="V13" s="6">
        <f>RANK('1bzr.'!E12,'1bzr.'!$E$3:'1bzr.'!$E$28,1)+COUNTIF('1bzr.'!$E$3:'1bzr.'!E12,'1bzr.'!E12)-1</f>
        <v>18</v>
      </c>
      <c r="W13" s="135" t="str">
        <f>INDEX('1bzr.'!B3:H28,MATCH(10,V4:V29,0),1)</f>
        <v>Krosno</v>
      </c>
      <c r="X13" s="6">
        <f>INDEX('1bzr.'!E3:H28,MATCH(10,V4:V29,0),1)</f>
        <v>16</v>
      </c>
      <c r="Y13" s="134">
        <v>9</v>
      </c>
      <c r="Z13" s="168">
        <f>RANK('1bzr.'!F12,'1bzr.'!$F$3:'1bzr.'!$F$28,1)+COUNTIF('1bzr.'!$F$3:'1bzr.'!F12,'1bzr.'!F12)-1</f>
        <v>22</v>
      </c>
      <c r="AA13" s="169" t="str">
        <f>INDEX('1bzr.'!B3:G28,MATCH(10,Z4:Z29,0),1)</f>
        <v>przeworski</v>
      </c>
      <c r="AB13" s="8">
        <f>INDEX('1bzr.'!D3:H28,MATCH(10,Z4:Z29,0),3)</f>
        <v>0.61406202026404666</v>
      </c>
      <c r="AC13" s="117"/>
      <c r="AD13" s="6">
        <f>RANK('1bzr.'!C12,'1bzr.'!$C$3:'1bzr.'!$C$28,1)+COUNTIF('1bzr.'!$C$3:'1bzr.'!C12,'1bzr.'!C12)-1</f>
        <v>7</v>
      </c>
      <c r="AE13" s="121" t="str">
        <f>INDEX('1bzr.'!B3:H28,MATCH(16,AD4:AD29,0),1)</f>
        <v>sanocki</v>
      </c>
      <c r="AF13" s="6">
        <f>INDEX('1bzr.'!B3:L28,MATCH(16,AD4:AD29,0),2)</f>
        <v>2839</v>
      </c>
      <c r="AH13" s="6">
        <f>RANK('1bzr.'!C12,'1bzr.'!$C$3:'1bzr.'!$C$28,1)+COUNTIF('1bzr.'!$C$3:'1bzr.'!C12,'1bzr.'!C12)-1</f>
        <v>7</v>
      </c>
      <c r="AI13" s="121" t="str">
        <f>INDEX('1bzr.'!B3:H28,MATCH(10,AH4:AH29,0),1)</f>
        <v>łańcucki</v>
      </c>
      <c r="AJ13" s="6">
        <f>INDEX('1bzr.'!B3:L28,MATCH(10,AH4:AH29,0),2)</f>
        <v>2323</v>
      </c>
    </row>
    <row r="14" spans="2:36" x14ac:dyDescent="0.2">
      <c r="B14" s="6">
        <f>RANK('1bzr.'!C13,'1bzr.'!$C$3:'1bzr.'!$C$28,1)+COUNTIF('1bzr.'!$C$3:'1bzr.'!C13,'1bzr.'!C13)-1</f>
        <v>10</v>
      </c>
      <c r="C14" s="5" t="str">
        <f>INDEX('1bzr.'!B3:H28,MATCH(11,B4:B29,0),1)</f>
        <v>Przemyśl</v>
      </c>
      <c r="D14" s="6">
        <f>INDEX('1bzr.'!B3:H28,MATCH(11,B4:B29,0),2)</f>
        <v>2355</v>
      </c>
      <c r="E14" s="42">
        <f>INDEX('1bzr.'!B3:H28,MATCH(11,B4:B29,0),3)</f>
        <v>2338</v>
      </c>
      <c r="F14" s="6">
        <f>INDEX('1bzr.'!B3:H28,MATCH(11,B4:B29,0),4)</f>
        <v>17</v>
      </c>
      <c r="G14" s="42">
        <f>INDEX('1bzr.'!B3:H28,MATCH(11,B4:B29,0),6)</f>
        <v>2240</v>
      </c>
      <c r="H14" s="6">
        <f>INDEX('1bzr.'!B3:H28,MATCH(11,B4:B29,0),7)</f>
        <v>115</v>
      </c>
      <c r="V14" s="6">
        <f>RANK('1bzr.'!E13,'1bzr.'!$E$3:'1bzr.'!$E$28,1)+COUNTIF('1bzr.'!$E$3:'1bzr.'!E13,'1bzr.'!E13)-1</f>
        <v>1</v>
      </c>
      <c r="W14" s="135" t="str">
        <f>INDEX('1bzr.'!B3:H28,MATCH(11,V4:V29,0),1)</f>
        <v>Przemyśl</v>
      </c>
      <c r="X14" s="6">
        <f>INDEX('1bzr.'!E3:H28,MATCH(11,V4:V29,0),1)</f>
        <v>17</v>
      </c>
      <c r="Y14" s="134">
        <v>10</v>
      </c>
      <c r="Z14" s="168">
        <f>RANK('1bzr.'!F13,'1bzr.'!$F$3:'1bzr.'!$F$28,1)+COUNTIF('1bzr.'!$F$3:'1bzr.'!F13,'1bzr.'!F13)-1</f>
        <v>1</v>
      </c>
      <c r="AA14" s="169" t="str">
        <f>INDEX('1bzr.'!B3:G28,MATCH(11,Z4:Z29,0),1)</f>
        <v>strzyżowski</v>
      </c>
      <c r="AB14" s="8">
        <f>INDEX('1bzr.'!D3:H28,MATCH(11,Z4:Z29,0),3)</f>
        <v>0.61707233459033251</v>
      </c>
      <c r="AC14" s="2"/>
      <c r="AD14" s="6">
        <f>RANK('1bzr.'!C13,'1bzr.'!$C$3:'1bzr.'!$C$28,1)+COUNTIF('1bzr.'!$C$3:'1bzr.'!C13,'1bzr.'!C13)-1</f>
        <v>10</v>
      </c>
      <c r="AE14" s="121" t="str">
        <f>INDEX('1bzr.'!B3:H28,MATCH(15,AD4:AD29,0),1)</f>
        <v>przemyski</v>
      </c>
      <c r="AF14" s="6">
        <f>INDEX('1bzr.'!B3:L28,MATCH(15,AD4:AD29,0),2)</f>
        <v>2834</v>
      </c>
      <c r="AH14" s="6">
        <f>RANK('1bzr.'!C13,'1bzr.'!$C$3:'1bzr.'!$C$28,1)+COUNTIF('1bzr.'!$C$3:'1bzr.'!C13,'1bzr.'!C13)-1</f>
        <v>10</v>
      </c>
      <c r="AI14" s="121" t="str">
        <f>INDEX('1bzr.'!B3:H28,MATCH(11,AH4:AH29,0),1)</f>
        <v>Przemyśl</v>
      </c>
      <c r="AJ14" s="6">
        <f>INDEX('1bzr.'!B3:L28,MATCH(11,AH4:AH29,0),2)</f>
        <v>2355</v>
      </c>
    </row>
    <row r="15" spans="2:36" x14ac:dyDescent="0.2">
      <c r="B15" s="6">
        <f>RANK('1bzr.'!C14,'1bzr.'!$C$3:'1bzr.'!$C$28,1)+COUNTIF('1bzr.'!$C$3:'1bzr.'!C14,'1bzr.'!C14)-1</f>
        <v>19</v>
      </c>
      <c r="C15" s="5" t="str">
        <f>INDEX('1bzr.'!B3:H28,MATCH(12,B4:B29,0),1)</f>
        <v>krośnieński</v>
      </c>
      <c r="D15" s="6">
        <f>INDEX('1bzr.'!B3:H28,MATCH(12,B4:B29,0),2)</f>
        <v>2372</v>
      </c>
      <c r="E15" s="42">
        <f>INDEX('1bzr.'!B3:H28,MATCH(12,B4:B29,0),3)</f>
        <v>2341</v>
      </c>
      <c r="F15" s="6">
        <f>INDEX('1bzr.'!B3:H28,MATCH(12,B4:B29,0),4)</f>
        <v>31</v>
      </c>
      <c r="G15" s="42">
        <f>INDEX('1bzr.'!B3:H28,MATCH(12,B4:B29,0),6)</f>
        <v>2136</v>
      </c>
      <c r="H15" s="6">
        <f>INDEX('1bzr.'!B3:H28,MATCH(12,B4:B29,0),7)</f>
        <v>236</v>
      </c>
      <c r="V15" s="6">
        <f>RANK('1bzr.'!E14,'1bzr.'!$E$3:'1bzr.'!$E$28,1)+COUNTIF('1bzr.'!$E$3:'1bzr.'!E14,'1bzr.'!E14)-1</f>
        <v>25</v>
      </c>
      <c r="W15" s="135" t="str">
        <f>INDEX('1bzr.'!B3:H28,MATCH(12,V4:V29,0),1)</f>
        <v>strzyżowski</v>
      </c>
      <c r="X15" s="6">
        <f>INDEX('1bzr.'!E3:H28,MATCH(12,V4:V29,0),1)</f>
        <v>18</v>
      </c>
      <c r="Y15" s="134">
        <v>11</v>
      </c>
      <c r="Z15" s="168">
        <f>RANK('1bzr.'!F14,'1bzr.'!$F$3:'1bzr.'!$F$28,1)+COUNTIF('1bzr.'!$F$3:'1bzr.'!F14,'1bzr.'!F14)-1</f>
        <v>26</v>
      </c>
      <c r="AA15" s="169" t="str">
        <f>INDEX('1bzr.'!B3:G28,MATCH(12,Z4:Z29,0),1)</f>
        <v>Przemyśl</v>
      </c>
      <c r="AB15" s="8">
        <f>INDEX('1bzr.'!D3:H28,MATCH(12,Z4:Z29,0),3)</f>
        <v>0.72711719418306242</v>
      </c>
      <c r="AC15" s="2"/>
      <c r="AD15" s="6">
        <f>RANK('1bzr.'!C14,'1bzr.'!$C$3:'1bzr.'!$C$28,1)+COUNTIF('1bzr.'!$C$3:'1bzr.'!C14,'1bzr.'!C14)-1</f>
        <v>19</v>
      </c>
      <c r="AE15" s="121" t="str">
        <f>INDEX('1bzr.'!B3:H28,MATCH(14,AD4:AD29,0),1)</f>
        <v>niżański</v>
      </c>
      <c r="AF15" s="6">
        <f>INDEX('1bzr.'!B3:L28,MATCH(14,AD4:AD29,0),2)</f>
        <v>2804</v>
      </c>
      <c r="AH15" s="6">
        <f>RANK('1bzr.'!C14,'1bzr.'!$C$3:'1bzr.'!$C$28,1)+COUNTIF('1bzr.'!$C$3:'1bzr.'!C14,'1bzr.'!C14)-1</f>
        <v>19</v>
      </c>
      <c r="AI15" s="121" t="str">
        <f>INDEX('1bzr.'!B3:H28,MATCH(12,AH4:AH29,0),1)</f>
        <v>krośnieński</v>
      </c>
      <c r="AJ15" s="6">
        <f>INDEX('1bzr.'!B3:L28,MATCH(12,AH4:AH29,0),2)</f>
        <v>2372</v>
      </c>
    </row>
    <row r="16" spans="2:36" x14ac:dyDescent="0.2">
      <c r="B16" s="6">
        <f>RANK('1bzr.'!C15,'1bzr.'!$C$3:'1bzr.'!$C$28,1)+COUNTIF('1bzr.'!$C$3:'1bzr.'!C15,'1bzr.'!C15)-1</f>
        <v>14</v>
      </c>
      <c r="C16" s="5" t="str">
        <f>INDEX('1bzr.'!B3:H28,MATCH(13,B4:B29,0),1)</f>
        <v>ropczycko-sędziszowski</v>
      </c>
      <c r="D16" s="6">
        <f>INDEX('1bzr.'!B3:H28,MATCH(13,B4:B29,0),2)</f>
        <v>2631</v>
      </c>
      <c r="E16" s="42">
        <f>INDEX('1bzr.'!B3:H28,MATCH(13,B4:B29,0),3)</f>
        <v>2608</v>
      </c>
      <c r="F16" s="6">
        <f>INDEX('1bzr.'!B3:H28,MATCH(13,B4:B29,0),4)</f>
        <v>23</v>
      </c>
      <c r="G16" s="42">
        <f>INDEX('1bzr.'!B3:H28,MATCH(13,B4:B29,0),6)</f>
        <v>2556</v>
      </c>
      <c r="H16" s="6">
        <f>INDEX('1bzr.'!B3:H28,MATCH(13,B4:B29,0),7)</f>
        <v>75</v>
      </c>
      <c r="V16" s="6">
        <f>RANK('1bzr.'!E15,'1bzr.'!$E$3:'1bzr.'!$E$28,1)+COUNTIF('1bzr.'!$E$3:'1bzr.'!E15,'1bzr.'!E15)-1</f>
        <v>6</v>
      </c>
      <c r="W16" s="135" t="str">
        <f>INDEX('1bzr.'!B3:H28,MATCH(13,V4:V29,0),1)</f>
        <v xml:space="preserve">tarnobrzeski </v>
      </c>
      <c r="X16" s="6">
        <f>INDEX('1bzr.'!E3:H28,MATCH(13,V4:V29,0),1)</f>
        <v>19</v>
      </c>
      <c r="Y16" s="134">
        <v>12</v>
      </c>
      <c r="Z16" s="185">
        <f>RANK('1bzr.'!F15,'1bzr.'!$F$3:'1bzr.'!$F$28,1)+COUNTIF('1bzr.'!$F$3:'1bzr.'!F15,'1bzr.'!F15)-1</f>
        <v>6</v>
      </c>
      <c r="AA16" s="186" t="str">
        <f>INDEX('1bzr.'!B3:G28,MATCH(13,Z4:Z29,0),1)</f>
        <v>województwo</v>
      </c>
      <c r="AB16" s="187">
        <f>INDEX('1bzr.'!D3:H28,MATCH(13,Z4:Z29,0),3)</f>
        <v>0.78954658786591569</v>
      </c>
      <c r="AC16" s="2"/>
      <c r="AD16" s="6">
        <f>RANK('1bzr.'!C15,'1bzr.'!$C$3:'1bzr.'!$C$28,1)+COUNTIF('1bzr.'!$C$3:'1bzr.'!C15,'1bzr.'!C15)-1</f>
        <v>14</v>
      </c>
      <c r="AE16" s="121" t="str">
        <f>INDEX('1bzr.'!B3:H28,MATCH(13,AD4:AD29,0),1)</f>
        <v>ropczycko-sędziszowski</v>
      </c>
      <c r="AF16" s="6">
        <f>INDEX('1bzr.'!B3:L28,MATCH(13,AD4:AD29,0),2)</f>
        <v>2631</v>
      </c>
      <c r="AH16" s="6">
        <f>RANK('1bzr.'!C15,'1bzr.'!$C$3:'1bzr.'!$C$28,1)+COUNTIF('1bzr.'!$C$3:'1bzr.'!C15,'1bzr.'!C15)-1</f>
        <v>14</v>
      </c>
      <c r="AI16" s="121" t="str">
        <f>INDEX('1bzr.'!B3:H28,MATCH(13,AH4:AH29,0),1)</f>
        <v>ropczycko-sędziszowski</v>
      </c>
      <c r="AJ16" s="6">
        <f>INDEX('1bzr.'!B3:L28,MATCH(13,AH4:AH29,0),2)</f>
        <v>2631</v>
      </c>
    </row>
    <row r="17" spans="2:36" x14ac:dyDescent="0.2">
      <c r="B17" s="6">
        <f>RANK('1bzr.'!C16,'1bzr.'!$C$3:'1bzr.'!$C$28,1)+COUNTIF('1bzr.'!$C$3:'1bzr.'!C16,'1bzr.'!C16)-1</f>
        <v>15</v>
      </c>
      <c r="C17" s="5" t="str">
        <f>INDEX('1bzr.'!B3:H28,MATCH(14,B4:B29,0),1)</f>
        <v>niżański</v>
      </c>
      <c r="D17" s="6">
        <f>INDEX('1bzr.'!B3:H28,MATCH(14,B4:B29,0),2)</f>
        <v>2804</v>
      </c>
      <c r="E17" s="42">
        <f>INDEX('1bzr.'!B3:H28,MATCH(14,B4:B29,0),3)</f>
        <v>2801</v>
      </c>
      <c r="F17" s="6">
        <f>INDEX('1bzr.'!B3:H28,MATCH(14,B4:B29,0),4)</f>
        <v>3</v>
      </c>
      <c r="G17" s="42">
        <f>INDEX('1bzr.'!B3:H28,MATCH(14,B4:B29,0),6)</f>
        <v>2794</v>
      </c>
      <c r="H17" s="6">
        <f>INDEX('1bzr.'!B3:H28,MATCH(14,B4:B29,0),7)</f>
        <v>10</v>
      </c>
      <c r="V17" s="6">
        <f>RANK('1bzr.'!E16,'1bzr.'!$E$3:'1bzr.'!$E$28,1)+COUNTIF('1bzr.'!$E$3:'1bzr.'!E16,'1bzr.'!E16)-1</f>
        <v>17</v>
      </c>
      <c r="W17" s="135" t="str">
        <f>INDEX('1bzr.'!B3:H28,MATCH(14,V4:V29,0),1)</f>
        <v>przeworski</v>
      </c>
      <c r="X17" s="6">
        <f>INDEX('1bzr.'!E3:H28,MATCH(14,V4:V29,0),1)</f>
        <v>20</v>
      </c>
      <c r="Y17" s="134">
        <v>13</v>
      </c>
      <c r="Z17" s="168">
        <f>RANK('1bzr.'!F16,'1bzr.'!$F$3:'1bzr.'!$F$28,1)+COUNTIF('1bzr.'!$F$3:'1bzr.'!F16,'1bzr.'!F16)-1</f>
        <v>16</v>
      </c>
      <c r="AA17" s="169" t="str">
        <f>INDEX('1bzr.'!B3:G28,MATCH(14,Z4:Z29,0),1)</f>
        <v>ropczycko-sędziszowski</v>
      </c>
      <c r="AB17" s="8">
        <f>INDEX('1bzr.'!D3:H28,MATCH(14,Z4:Z29,0),3)</f>
        <v>0.88190184049079745</v>
      </c>
      <c r="AC17" s="2"/>
      <c r="AD17" s="6">
        <f>RANK('1bzr.'!C16,'1bzr.'!$C$3:'1bzr.'!$C$28,1)+COUNTIF('1bzr.'!$C$3:'1bzr.'!C16,'1bzr.'!C16)-1</f>
        <v>15</v>
      </c>
      <c r="AE17" s="121" t="str">
        <f>INDEX('1bzr.'!B3:H28,MATCH(12,AD4:AD29,0),1)</f>
        <v>krośnieński</v>
      </c>
      <c r="AF17" s="6">
        <f>INDEX('1bzr.'!B3:L28,MATCH(12,AD4:AD29,0),2)</f>
        <v>2372</v>
      </c>
      <c r="AH17" s="6">
        <f>RANK('1bzr.'!C16,'1bzr.'!$C$3:'1bzr.'!$C$28,1)+COUNTIF('1bzr.'!$C$3:'1bzr.'!C16,'1bzr.'!C16)-1</f>
        <v>15</v>
      </c>
      <c r="AI17" s="121" t="str">
        <f>INDEX('1bzr.'!B3:H28,MATCH(14,AH4:AH29,0),1)</f>
        <v>niżański</v>
      </c>
      <c r="AJ17" s="6">
        <f>INDEX('1bzr.'!B3:L28,MATCH(14,AH4:AH29,0),2)</f>
        <v>2804</v>
      </c>
    </row>
    <row r="18" spans="2:36" x14ac:dyDescent="0.2">
      <c r="B18" s="6">
        <f>RANK('1bzr.'!C17,'1bzr.'!$C$3:'1bzr.'!$C$28,1)+COUNTIF('1bzr.'!$C$3:'1bzr.'!C17,'1bzr.'!C17)-1</f>
        <v>20</v>
      </c>
      <c r="C18" s="5" t="str">
        <f>INDEX('1bzr.'!B3:H28,MATCH(15,B4:B29,0),1)</f>
        <v>przemyski</v>
      </c>
      <c r="D18" s="6">
        <f>INDEX('1bzr.'!B3:H28,MATCH(15,B4:B29,0),2)</f>
        <v>2834</v>
      </c>
      <c r="E18" s="42">
        <f>INDEX('1bzr.'!B3:H28,MATCH(15,B4:B29,0),3)</f>
        <v>2806</v>
      </c>
      <c r="F18" s="6">
        <f>INDEX('1bzr.'!B3:H28,MATCH(15,B4:B29,0),4)</f>
        <v>28</v>
      </c>
      <c r="G18" s="42">
        <f>INDEX('1bzr.'!B3:H28,MATCH(15,B4:B29,0),6)</f>
        <v>2711</v>
      </c>
      <c r="H18" s="6">
        <f>INDEX('1bzr.'!B3:H28,MATCH(15,B4:B29,0),7)</f>
        <v>123</v>
      </c>
      <c r="V18" s="6">
        <f>RANK('1bzr.'!E17,'1bzr.'!$E$3:'1bzr.'!$E$28,1)+COUNTIF('1bzr.'!$E$3:'1bzr.'!E17,'1bzr.'!E17)-1</f>
        <v>14</v>
      </c>
      <c r="W18" s="135" t="str">
        <f>INDEX('1bzr.'!B3:H28,MATCH(15,V4:V29,0),1)</f>
        <v>ropczycko-sędziszowski</v>
      </c>
      <c r="X18" s="6">
        <f>INDEX('1bzr.'!E3:H28,MATCH(15,V4:V29,0),1)</f>
        <v>23</v>
      </c>
      <c r="Y18" s="134">
        <v>14</v>
      </c>
      <c r="Z18" s="168">
        <f>RANK('1bzr.'!F17,'1bzr.'!$F$3:'1bzr.'!$F$28,1)+COUNTIF('1bzr.'!$F$3:'1bzr.'!F17,'1bzr.'!F17)-1</f>
        <v>10</v>
      </c>
      <c r="AA18" s="169" t="str">
        <f>INDEX('1bzr.'!B3:G28,MATCH(15,Z4:Z29,0),1)</f>
        <v>rzeszowski</v>
      </c>
      <c r="AB18" s="8">
        <f>INDEX('1bzr.'!D3:H28,MATCH(15,Z4:Z29,0),3)</f>
        <v>0.91804746977160767</v>
      </c>
      <c r="AC18" s="2"/>
      <c r="AD18" s="6">
        <f>RANK('1bzr.'!C17,'1bzr.'!$C$3:'1bzr.'!$C$28,1)+COUNTIF('1bzr.'!$C$3:'1bzr.'!C17,'1bzr.'!C17)-1</f>
        <v>20</v>
      </c>
      <c r="AE18" s="121" t="str">
        <f>INDEX('1bzr.'!B3:H28,MATCH(11,AD4:AD29,0),1)</f>
        <v>Przemyśl</v>
      </c>
      <c r="AF18" s="6">
        <f>INDEX('1bzr.'!B3:L28,MATCH(11,AD4:AD29,0),2)</f>
        <v>2355</v>
      </c>
      <c r="AH18" s="6">
        <f>RANK('1bzr.'!C17,'1bzr.'!$C$3:'1bzr.'!$C$28,1)+COUNTIF('1bzr.'!$C$3:'1bzr.'!C17,'1bzr.'!C17)-1</f>
        <v>20</v>
      </c>
      <c r="AI18" s="121" t="str">
        <f>INDEX('1bzr.'!B3:H28,MATCH(15,AH4:AH29,0),1)</f>
        <v>przemyski</v>
      </c>
      <c r="AJ18" s="6">
        <f>INDEX('1bzr.'!B3:L28,MATCH(15,AH4:AH29,0),2)</f>
        <v>2834</v>
      </c>
    </row>
    <row r="19" spans="2:36" x14ac:dyDescent="0.2">
      <c r="B19" s="6">
        <f>RANK('1bzr.'!C18,'1bzr.'!$C$3:'1bzr.'!$C$28,1)+COUNTIF('1bzr.'!$C$3:'1bzr.'!C18,'1bzr.'!C18)-1</f>
        <v>13</v>
      </c>
      <c r="C19" s="5" t="str">
        <f>INDEX('1bzr.'!B3:H28,MATCH(16,B4:B29,0),1)</f>
        <v>sanocki</v>
      </c>
      <c r="D19" s="6">
        <f>INDEX('1bzr.'!B3:H28,MATCH(16,B4:B29,0),2)</f>
        <v>2839</v>
      </c>
      <c r="E19" s="42">
        <f>INDEX('1bzr.'!B3:H28,MATCH(16,B4:B29,0),3)</f>
        <v>2859</v>
      </c>
      <c r="F19" s="6">
        <f>INDEX('1bzr.'!B3:H28,MATCH(16,B4:B29,0),4)</f>
        <v>-20</v>
      </c>
      <c r="G19" s="42">
        <f>INDEX('1bzr.'!B3:H28,MATCH(16,B4:B29,0),6)</f>
        <v>2659</v>
      </c>
      <c r="H19" s="6">
        <f>INDEX('1bzr.'!B3:H28,MATCH(16,B4:B29,0),7)</f>
        <v>180</v>
      </c>
      <c r="V19" s="6">
        <f>RANK('1bzr.'!E18,'1bzr.'!$E$3:'1bzr.'!$E$28,1)+COUNTIF('1bzr.'!$E$3:'1bzr.'!E18,'1bzr.'!E18)-1</f>
        <v>15</v>
      </c>
      <c r="W19" s="135" t="str">
        <f>INDEX('1bzr.'!B3:H28,MATCH(16,V4:V29,0),1)</f>
        <v>Tarnobrzeg</v>
      </c>
      <c r="X19" s="6">
        <f>INDEX('1bzr.'!E3:H28,MATCH(16,V4:V29,0),1)</f>
        <v>25</v>
      </c>
      <c r="Y19" s="134">
        <v>15</v>
      </c>
      <c r="Z19" s="168">
        <f>RANK('1bzr.'!F18,'1bzr.'!$F$3:'1bzr.'!$F$28,1)+COUNTIF('1bzr.'!$F$3:'1bzr.'!F18,'1bzr.'!F18)-1</f>
        <v>14</v>
      </c>
      <c r="AA19" s="169" t="str">
        <f>INDEX('1bzr.'!B3:G28,MATCH(16,Z4:Z29,0),1)</f>
        <v>przemyski</v>
      </c>
      <c r="AB19" s="8">
        <f>INDEX('1bzr.'!D3:H28,MATCH(16,Z4:Z29,0),3)</f>
        <v>0.99786172487526736</v>
      </c>
      <c r="AC19" s="2"/>
      <c r="AD19" s="6">
        <f>RANK('1bzr.'!C18,'1bzr.'!$C$3:'1bzr.'!$C$28,1)+COUNTIF('1bzr.'!$C$3:'1bzr.'!C18,'1bzr.'!C18)-1</f>
        <v>13</v>
      </c>
      <c r="AE19" s="121" t="str">
        <f>INDEX('1bzr.'!B3:H28,MATCH(10,AD4:AD29,0),1)</f>
        <v>łańcucki</v>
      </c>
      <c r="AF19" s="6">
        <f>INDEX('1bzr.'!B3:L28,MATCH(10,AD4:AD29,0),2)</f>
        <v>2323</v>
      </c>
      <c r="AH19" s="6">
        <f>RANK('1bzr.'!C18,'1bzr.'!$C$3:'1bzr.'!$C$28,1)+COUNTIF('1bzr.'!$C$3:'1bzr.'!C18,'1bzr.'!C18)-1</f>
        <v>13</v>
      </c>
      <c r="AI19" s="121" t="str">
        <f>INDEX('1bzr.'!B3:H28,MATCH(16,AH4:AH29,0),1)</f>
        <v>sanocki</v>
      </c>
      <c r="AJ19" s="6">
        <f>INDEX('1bzr.'!B3:L28,MATCH(16,AH4:AH29,0),2)</f>
        <v>2839</v>
      </c>
    </row>
    <row r="20" spans="2:36" x14ac:dyDescent="0.2">
      <c r="B20" s="6">
        <f>RANK('1bzr.'!C19,'1bzr.'!$C$3:'1bzr.'!$C$28,1)+COUNTIF('1bzr.'!$C$3:'1bzr.'!C19,'1bzr.'!C19)-1</f>
        <v>23</v>
      </c>
      <c r="C20" s="5" t="str">
        <f>INDEX('1bzr.'!B3:H28,MATCH(17,B4:B29,0),1)</f>
        <v>leżajski</v>
      </c>
      <c r="D20" s="6">
        <f>INDEX('1bzr.'!B3:H28,MATCH(17,B4:B29,0),2)</f>
        <v>2840</v>
      </c>
      <c r="E20" s="42">
        <f>INDEX('1bzr.'!B3:H28,MATCH(17,B4:B29,0),3)</f>
        <v>2806</v>
      </c>
      <c r="F20" s="6">
        <f>INDEX('1bzr.'!B3:H28,MATCH(17,B4:B29,0),4)</f>
        <v>34</v>
      </c>
      <c r="G20" s="42">
        <f>INDEX('1bzr.'!B3:H28,MATCH(17,B4:B29,0),6)</f>
        <v>2809</v>
      </c>
      <c r="H20" s="6">
        <f>INDEX('1bzr.'!B3:H28,MATCH(17,B4:B29,0),7)</f>
        <v>31</v>
      </c>
      <c r="V20" s="6">
        <f>RANK('1bzr.'!E19,'1bzr.'!$E$3:'1bzr.'!$E$28,1)+COUNTIF('1bzr.'!$E$3:'1bzr.'!E19,'1bzr.'!E19)-1</f>
        <v>22</v>
      </c>
      <c r="W20" s="135" t="str">
        <f>INDEX('1bzr.'!B3:H28,MATCH(17,V4:V29,0),1)</f>
        <v>przemyski</v>
      </c>
      <c r="X20" s="6">
        <f>INDEX('1bzr.'!E3:H28,MATCH(17,V4:V29,0),1)</f>
        <v>28</v>
      </c>
      <c r="Y20" s="134">
        <v>16</v>
      </c>
      <c r="Z20" s="168">
        <f>RANK('1bzr.'!F19,'1bzr.'!$F$3:'1bzr.'!$F$28,1)+COUNTIF('1bzr.'!$F$3:'1bzr.'!F19,'1bzr.'!F19)-1</f>
        <v>15</v>
      </c>
      <c r="AA20" s="169" t="str">
        <f>INDEX('1bzr.'!B3:G28,MATCH(17,Z4:Z29,0),1)</f>
        <v>leżajski</v>
      </c>
      <c r="AB20" s="8">
        <f>INDEX('1bzr.'!D3:H28,MATCH(17,Z4:Z29,0),3)</f>
        <v>1.2116892373485388</v>
      </c>
      <c r="AC20" s="2"/>
      <c r="AD20" s="6">
        <f>RANK('1bzr.'!C19,'1bzr.'!$C$3:'1bzr.'!$C$28,1)+COUNTIF('1bzr.'!$C$3:'1bzr.'!C19,'1bzr.'!C19)-1</f>
        <v>23</v>
      </c>
      <c r="AE20" s="121" t="str">
        <f>INDEX('1bzr.'!B3:H28,MATCH(9,AD4:AD29,0),1)</f>
        <v>dębicki</v>
      </c>
      <c r="AF20" s="6">
        <f>INDEX('1bzr.'!B3:L28,MATCH(9,AD4:AD29,0),2)</f>
        <v>2214</v>
      </c>
      <c r="AH20" s="6">
        <f>RANK('1bzr.'!C19,'1bzr.'!$C$3:'1bzr.'!$C$28,1)+COUNTIF('1bzr.'!$C$3:'1bzr.'!C19,'1bzr.'!C19)-1</f>
        <v>23</v>
      </c>
      <c r="AI20" s="121" t="str">
        <f>INDEX('1bzr.'!B3:H28,MATCH(17,AH4:AH29,0),1)</f>
        <v>leżajski</v>
      </c>
      <c r="AJ20" s="6">
        <f>INDEX('1bzr.'!B3:L28,MATCH(17,AH4:AH29,0),2)</f>
        <v>2840</v>
      </c>
    </row>
    <row r="21" spans="2:36" x14ac:dyDescent="0.2">
      <c r="B21" s="6">
        <f>RANK('1bzr.'!C20,'1bzr.'!$C$3:'1bzr.'!$C$28,1)+COUNTIF('1bzr.'!$C$3:'1bzr.'!C20,'1bzr.'!C20)-1</f>
        <v>16</v>
      </c>
      <c r="C21" s="5" t="str">
        <f>INDEX('1bzr.'!B3:H28,MATCH(18,B4:B29,0),1)</f>
        <v>strzyżowski</v>
      </c>
      <c r="D21" s="6">
        <f>INDEX('1bzr.'!B3:H28,MATCH(18,B4:B29,0),2)</f>
        <v>2935</v>
      </c>
      <c r="E21" s="42">
        <f>INDEX('1bzr.'!B3:H28,MATCH(18,B4:B29,0),3)</f>
        <v>2917</v>
      </c>
      <c r="F21" s="6">
        <f>INDEX('1bzr.'!B3:H28,MATCH(18,B4:B29,0),4)</f>
        <v>18</v>
      </c>
      <c r="G21" s="42">
        <f>INDEX('1bzr.'!B3:H28,MATCH(18,B4:B29,0),6)</f>
        <v>3008</v>
      </c>
      <c r="H21" s="6">
        <f>INDEX('1bzr.'!B3:H28,MATCH(18,B4:B29,0),7)</f>
        <v>-73</v>
      </c>
      <c r="V21" s="6">
        <f>RANK('1bzr.'!E20,'1bzr.'!$E$3:'1bzr.'!$E$28,1)+COUNTIF('1bzr.'!$E$3:'1bzr.'!E20,'1bzr.'!E20)-1</f>
        <v>3</v>
      </c>
      <c r="W21" s="135" t="str">
        <f>INDEX('1bzr.'!B3:H28,MATCH(18,V4:V29,0),1)</f>
        <v>lubaczowski</v>
      </c>
      <c r="X21" s="6">
        <f>INDEX('1bzr.'!E3:H28,MATCH(18,V4:V29,0),1)</f>
        <v>29</v>
      </c>
      <c r="Y21" s="134">
        <v>17</v>
      </c>
      <c r="Z21" s="168">
        <f>RANK('1bzr.'!F20,'1bzr.'!$F$3:'1bzr.'!$F$28,1)+COUNTIF('1bzr.'!$F$3:'1bzr.'!F20,'1bzr.'!F20)-1</f>
        <v>4</v>
      </c>
      <c r="AA21" s="169" t="str">
        <f>INDEX('1bzr.'!B3:G28,MATCH(18,Z4:Z29,0),1)</f>
        <v>krośnieński</v>
      </c>
      <c r="AB21" s="8">
        <f>INDEX('1bzr.'!D3:H28,MATCH(18,Z4:Z29,0),3)</f>
        <v>1.3242204186245194</v>
      </c>
      <c r="AC21" s="2"/>
      <c r="AD21" s="6">
        <f>RANK('1bzr.'!C20,'1bzr.'!$C$3:'1bzr.'!$C$28,1)+COUNTIF('1bzr.'!$C$3:'1bzr.'!C20,'1bzr.'!C20)-1</f>
        <v>16</v>
      </c>
      <c r="AE21" s="121" t="str">
        <f>INDEX('1bzr.'!B3:H28,MATCH(8,AD4:AD29,0),1)</f>
        <v>stalowowolski</v>
      </c>
      <c r="AF21" s="6">
        <f>INDEX('1bzr.'!B3:L28,MATCH(8,AD4:AD29,0),2)</f>
        <v>2211</v>
      </c>
      <c r="AH21" s="6">
        <f>RANK('1bzr.'!C20,'1bzr.'!$C$3:'1bzr.'!$C$28,1)+COUNTIF('1bzr.'!$C$3:'1bzr.'!C20,'1bzr.'!C20)-1</f>
        <v>16</v>
      </c>
      <c r="AI21" s="121" t="str">
        <f>INDEX('1bzr.'!B3:H28,MATCH(18,AH4:AH29,0),1)</f>
        <v>strzyżowski</v>
      </c>
      <c r="AJ21" s="6">
        <f>INDEX('1bzr.'!B3:L28,MATCH(18,AH4:AH29,0),2)</f>
        <v>2935</v>
      </c>
    </row>
    <row r="22" spans="2:36" x14ac:dyDescent="0.2">
      <c r="B22" s="6">
        <f>RANK('1bzr.'!C21,'1bzr.'!$C$3:'1bzr.'!$C$28,1)+COUNTIF('1bzr.'!$C$3:'1bzr.'!C21,'1bzr.'!C21)-1</f>
        <v>8</v>
      </c>
      <c r="C22" s="5" t="str">
        <f>INDEX('1bzr.'!B3:H28,MATCH(19,B4:B29,0),1)</f>
        <v>mielecki</v>
      </c>
      <c r="D22" s="6">
        <f>INDEX('1bzr.'!B3:H28,MATCH(19,B4:B29,0),2)</f>
        <v>3112</v>
      </c>
      <c r="E22" s="42">
        <f>INDEX('1bzr.'!B3:H28,MATCH(19,B4:B29,0),3)</f>
        <v>2998</v>
      </c>
      <c r="F22" s="6">
        <f>INDEX('1bzr.'!B3:H28,MATCH(19,B4:B29,0),4)</f>
        <v>114</v>
      </c>
      <c r="G22" s="42">
        <f>INDEX('1bzr.'!B3:H28,MATCH(19,B4:B29,0),6)</f>
        <v>2872</v>
      </c>
      <c r="H22" s="6">
        <f>INDEX('1bzr.'!B3:H28,MATCH(19,B4:B29,0),7)</f>
        <v>240</v>
      </c>
      <c r="V22" s="6">
        <f>RANK('1bzr.'!E21,'1bzr.'!$E$3:'1bzr.'!$E$28,1)+COUNTIF('1bzr.'!$E$3:'1bzr.'!E21,'1bzr.'!E21)-1</f>
        <v>21</v>
      </c>
      <c r="W22" s="135" t="str">
        <f>INDEX('1bzr.'!B3:H28,MATCH(19,V4:V29,0),1)</f>
        <v>krośnieński</v>
      </c>
      <c r="X22" s="6">
        <f>INDEX('1bzr.'!E3:H28,MATCH(19,V4:V29,0),1)</f>
        <v>31</v>
      </c>
      <c r="Y22" s="134">
        <v>18</v>
      </c>
      <c r="Z22" s="168">
        <f>RANK('1bzr.'!F21,'1bzr.'!$F$3:'1bzr.'!$F$28,1)+COUNTIF('1bzr.'!$F$3:'1bzr.'!F21,'1bzr.'!F21)-1</f>
        <v>20</v>
      </c>
      <c r="AA22" s="169" t="str">
        <f>INDEX('1bzr.'!B3:G28,MATCH(19,Z4:Z29,0),1)</f>
        <v xml:space="preserve">tarnobrzeski </v>
      </c>
      <c r="AB22" s="8">
        <f>INDEX('1bzr.'!D3:H28,MATCH(19,Z4:Z29,0),3)</f>
        <v>1.5637860082304527</v>
      </c>
      <c r="AC22" s="2"/>
      <c r="AD22" s="6">
        <f>RANK('1bzr.'!C21,'1bzr.'!$C$3:'1bzr.'!$C$28,1)+COUNTIF('1bzr.'!$C$3:'1bzr.'!C21,'1bzr.'!C21)-1</f>
        <v>8</v>
      </c>
      <c r="AE22" s="121" t="str">
        <f>INDEX('1bzr.'!B3:H28,MATCH(7,AD4:AD29,0),1)</f>
        <v>lubaczowski</v>
      </c>
      <c r="AF22" s="6">
        <f>INDEX('1bzr.'!B3:L28,MATCH(7,AD4:AD29,0),2)</f>
        <v>1528</v>
      </c>
      <c r="AH22" s="6">
        <f>RANK('1bzr.'!C21,'1bzr.'!$C$3:'1bzr.'!$C$28,1)+COUNTIF('1bzr.'!$C$3:'1bzr.'!C21,'1bzr.'!C21)-1</f>
        <v>8</v>
      </c>
      <c r="AI22" s="121" t="str">
        <f>INDEX('1bzr.'!B3:H28,MATCH(19,AH4:AH29,0),1)</f>
        <v>mielecki</v>
      </c>
      <c r="AJ22" s="6">
        <f>INDEX('1bzr.'!B3:L28,MATCH(19,AH4:AH29,0),2)</f>
        <v>3112</v>
      </c>
    </row>
    <row r="23" spans="2:36" x14ac:dyDescent="0.2">
      <c r="B23" s="6">
        <f>RANK('1bzr.'!C22,'1bzr.'!$C$3:'1bzr.'!$C$28,1)+COUNTIF('1bzr.'!$C$3:'1bzr.'!C22,'1bzr.'!C22)-1</f>
        <v>18</v>
      </c>
      <c r="C23" s="5" t="str">
        <f>INDEX('1bzr.'!B3:H28,MATCH(20,B4:B29,0),1)</f>
        <v>przeworski</v>
      </c>
      <c r="D23" s="6">
        <f>INDEX('1bzr.'!B3:H28,MATCH(20,B4:B29,0),2)</f>
        <v>3277</v>
      </c>
      <c r="E23" s="42">
        <f>INDEX('1bzr.'!B3:H28,MATCH(20,B4:B29,0),3)</f>
        <v>3257</v>
      </c>
      <c r="F23" s="6">
        <f>INDEX('1bzr.'!B3:H28,MATCH(20,B4:B29,0),4)</f>
        <v>20</v>
      </c>
      <c r="G23" s="42">
        <f>INDEX('1bzr.'!B3:H28,MATCH(20,B4:B29,0),6)</f>
        <v>3161</v>
      </c>
      <c r="H23" s="6">
        <f>INDEX('1bzr.'!B3:H28,MATCH(20,B4:B29,0),7)</f>
        <v>116</v>
      </c>
      <c r="V23" s="6">
        <f>RANK('1bzr.'!E22,'1bzr.'!$E$3:'1bzr.'!$E$28,1)+COUNTIF('1bzr.'!$E$3:'1bzr.'!E22,'1bzr.'!E22)-1</f>
        <v>12</v>
      </c>
      <c r="W23" s="135" t="str">
        <f>INDEX('1bzr.'!B3:H28,MATCH(20,V4:V29,0),1)</f>
        <v>leżajski</v>
      </c>
      <c r="X23" s="6">
        <f>INDEX('1bzr.'!E3:H28,MATCH(20,V4:V29,0),1)</f>
        <v>34</v>
      </c>
      <c r="Y23" s="134">
        <v>19</v>
      </c>
      <c r="Z23" s="168">
        <f>RANK('1bzr.'!F22,'1bzr.'!$F$3:'1bzr.'!$F$28,1)+COUNTIF('1bzr.'!$F$3:'1bzr.'!F22,'1bzr.'!F22)-1</f>
        <v>11</v>
      </c>
      <c r="AA23" s="169" t="str">
        <f>INDEX('1bzr.'!B3:G28,MATCH(20,Z4:Z29,0),1)</f>
        <v>stalowowolski</v>
      </c>
      <c r="AB23" s="8">
        <f>INDEX('1bzr.'!D3:H28,MATCH(20,Z4:Z29,0),3)</f>
        <v>1.7019319227230909</v>
      </c>
      <c r="AC23" s="2"/>
      <c r="AD23" s="6">
        <f>RANK('1bzr.'!C22,'1bzr.'!$C$3:'1bzr.'!$C$28,1)+COUNTIF('1bzr.'!$C$3:'1bzr.'!C22,'1bzr.'!C22)-1</f>
        <v>18</v>
      </c>
      <c r="AE23" s="121" t="str">
        <f>INDEX('1bzr.'!B3:H28,MATCH(6,AD4:AD29,0),1)</f>
        <v>leski</v>
      </c>
      <c r="AF23" s="6">
        <f>INDEX('1bzr.'!B3:L28,MATCH(6,AD4:AD29,0),2)</f>
        <v>1522</v>
      </c>
      <c r="AH23" s="6">
        <f>RANK('1bzr.'!C22,'1bzr.'!$C$3:'1bzr.'!$C$28,1)+COUNTIF('1bzr.'!$C$3:'1bzr.'!C22,'1bzr.'!C22)-1</f>
        <v>18</v>
      </c>
      <c r="AI23" s="121" t="str">
        <f>INDEX('1bzr.'!B3:H28,MATCH(20,AH4:AH29,0),1)</f>
        <v>przeworski</v>
      </c>
      <c r="AJ23" s="6">
        <f>INDEX('1bzr.'!B3:L28,MATCH(20,AH4:AH29,0),2)</f>
        <v>3277</v>
      </c>
    </row>
    <row r="24" spans="2:36" x14ac:dyDescent="0.2">
      <c r="B24" s="6">
        <f>RANK('1bzr.'!C23,'1bzr.'!$C$3:'1bzr.'!$C$28,1)+COUNTIF('1bzr.'!$C$3:'1bzr.'!C23,'1bzr.'!C23)-1</f>
        <v>4</v>
      </c>
      <c r="C24" s="5" t="str">
        <f>INDEX('1bzr.'!B3:H28,MATCH(21,B4:B29,0),1)</f>
        <v>brzozowski</v>
      </c>
      <c r="D24" s="6">
        <f>INDEX('1bzr.'!B3:H28,MATCH(21,B4:B29,0),2)</f>
        <v>3452</v>
      </c>
      <c r="E24" s="42">
        <f>INDEX('1bzr.'!B3:H28,MATCH(21,B4:B29,0),3)</f>
        <v>3490</v>
      </c>
      <c r="F24" s="6">
        <f>INDEX('1bzr.'!B3:H28,MATCH(21,B4:B29,0),4)</f>
        <v>-38</v>
      </c>
      <c r="G24" s="42">
        <f>INDEX('1bzr.'!B3:H28,MATCH(21,B4:B29,0),6)</f>
        <v>3405</v>
      </c>
      <c r="H24" s="6">
        <f>INDEX('1bzr.'!B3:H28,MATCH(21,B4:B29,0),7)</f>
        <v>47</v>
      </c>
      <c r="V24" s="6">
        <f>RANK('1bzr.'!E23,'1bzr.'!$E$3:'1bzr.'!$E$28,1)+COUNTIF('1bzr.'!$E$3:'1bzr.'!E23,'1bzr.'!E23)-1</f>
        <v>13</v>
      </c>
      <c r="W24" s="135" t="str">
        <f>INDEX('1bzr.'!B3:H28,MATCH(21,V4:V29,0),1)</f>
        <v>stalowowolski</v>
      </c>
      <c r="X24" s="6">
        <f>INDEX('1bzr.'!E3:H28,MATCH(21,V4:V29,0),1)</f>
        <v>37</v>
      </c>
      <c r="Y24" s="134">
        <v>20</v>
      </c>
      <c r="Z24" s="168">
        <f>RANK('1bzr.'!F23,'1bzr.'!$F$3:'1bzr.'!$F$28,1)+COUNTIF('1bzr.'!$F$3:'1bzr.'!F23,'1bzr.'!F23)-1</f>
        <v>19</v>
      </c>
      <c r="AA24" s="169" t="str">
        <f>INDEX('1bzr.'!B3:G28,MATCH(21,Z4:Z29,0),1)</f>
        <v>Krosno</v>
      </c>
      <c r="AB24" s="8">
        <f>INDEX('1bzr.'!D3:H28,MATCH(21,Z4:Z29,0),3)</f>
        <v>1.8369690011481057</v>
      </c>
      <c r="AC24" s="2"/>
      <c r="AD24" s="6">
        <f>RANK('1bzr.'!C23,'1bzr.'!$C$3:'1bzr.'!$C$28,1)+COUNTIF('1bzr.'!$C$3:'1bzr.'!C23,'1bzr.'!C23)-1</f>
        <v>4</v>
      </c>
      <c r="AE24" s="121" t="str">
        <f>INDEX('1bzr.'!B3:H28,MATCH(5,AD4:AD29,0),1)</f>
        <v>kolbuszowski</v>
      </c>
      <c r="AF24" s="6">
        <f>INDEX('1bzr.'!B3:L28,MATCH(5,AD4:AD29,0),2)</f>
        <v>1480</v>
      </c>
      <c r="AH24" s="6">
        <f>RANK('1bzr.'!C23,'1bzr.'!$C$3:'1bzr.'!$C$28,1)+COUNTIF('1bzr.'!$C$3:'1bzr.'!C23,'1bzr.'!C23)-1</f>
        <v>4</v>
      </c>
      <c r="AI24" s="121" t="str">
        <f>INDEX('1bzr.'!B3:H28,MATCH(21,AH4:AH29,0),1)</f>
        <v>brzozowski</v>
      </c>
      <c r="AJ24" s="6">
        <f>INDEX('1bzr.'!B3:L28,MATCH(21,AH4:AH29,0),2)</f>
        <v>3452</v>
      </c>
    </row>
    <row r="25" spans="2:36" x14ac:dyDescent="0.2">
      <c r="B25" s="6">
        <f>RANK('1bzr.'!C24,'1bzr.'!$C$3:'1bzr.'!$C$28,1)+COUNTIF('1bzr.'!$C$3:'1bzr.'!C24,'1bzr.'!C24)-1</f>
        <v>1</v>
      </c>
      <c r="C25" s="5" t="str">
        <f>INDEX('1bzr.'!B3:H28,MATCH(22,B4:B29,0),1)</f>
        <v>jarosławski</v>
      </c>
      <c r="D25" s="6">
        <f>INDEX('1bzr.'!B3:H28,MATCH(22,B4:B29,0),2)</f>
        <v>4380</v>
      </c>
      <c r="E25" s="42">
        <f>INDEX('1bzr.'!B3:H28,MATCH(22,B4:B29,0),3)</f>
        <v>4365</v>
      </c>
      <c r="F25" s="6">
        <f>INDEX('1bzr.'!B3:H28,MATCH(22,B4:B29,0),4)</f>
        <v>15</v>
      </c>
      <c r="G25" s="42">
        <f>INDEX('1bzr.'!B3:H28,MATCH(22,B4:B29,0),6)</f>
        <v>4239</v>
      </c>
      <c r="H25" s="6">
        <f>INDEX('1bzr.'!B3:H28,MATCH(22,B4:B29,0),7)</f>
        <v>141</v>
      </c>
      <c r="V25" s="6">
        <f>RANK('1bzr.'!E24,'1bzr.'!$E$3:'1bzr.'!$E$28,1)+COUNTIF('1bzr.'!$E$3:'1bzr.'!E24,'1bzr.'!E24)-1</f>
        <v>10</v>
      </c>
      <c r="W25" s="135" t="str">
        <f>INDEX('1bzr.'!B3:H28,MATCH(22,V4:V29,0),1)</f>
        <v>rzeszowski</v>
      </c>
      <c r="X25" s="6">
        <f>INDEX('1bzr.'!E3:H28,MATCH(22,V4:V29,0),1)</f>
        <v>41</v>
      </c>
      <c r="Y25" s="134">
        <v>21</v>
      </c>
      <c r="Z25" s="168">
        <f>RANK('1bzr.'!F24,'1bzr.'!$F$3:'1bzr.'!$F$28,1)+COUNTIF('1bzr.'!$F$3:'1bzr.'!F24,'1bzr.'!F24)-1</f>
        <v>21</v>
      </c>
      <c r="AA25" s="169" t="str">
        <f>INDEX('1bzr.'!B3:G28,MATCH(22,Z4:Z29,0),1)</f>
        <v>lubaczowski</v>
      </c>
      <c r="AB25" s="8">
        <f>INDEX('1bzr.'!D3:H28,MATCH(22,Z4:Z29,0),3)</f>
        <v>1.9346230820547032</v>
      </c>
      <c r="AC25" s="2"/>
      <c r="AD25" s="6">
        <f>RANK('1bzr.'!C24,'1bzr.'!$C$3:'1bzr.'!$C$28,1)+COUNTIF('1bzr.'!$C$3:'1bzr.'!C24,'1bzr.'!C24)-1</f>
        <v>1</v>
      </c>
      <c r="AE25" s="121" t="str">
        <f>INDEX('1bzr.'!B3:H28,MATCH(4,AD4:AD29,0),1)</f>
        <v xml:space="preserve">tarnobrzeski </v>
      </c>
      <c r="AF25" s="6">
        <f>INDEX('1bzr.'!B3:L28,MATCH(4,AD4:AD29,0),2)</f>
        <v>1234</v>
      </c>
      <c r="AH25" s="6">
        <f>RANK('1bzr.'!C24,'1bzr.'!$C$3:'1bzr.'!$C$28,1)+COUNTIF('1bzr.'!$C$3:'1bzr.'!C24,'1bzr.'!C24)-1</f>
        <v>1</v>
      </c>
      <c r="AI25" s="121" t="str">
        <f>INDEX('1bzr.'!B3:H28,MATCH(22,AH4:AH29,0),1)</f>
        <v>jarosławski</v>
      </c>
      <c r="AJ25" s="6">
        <f>INDEX('1bzr.'!B3:L28,MATCH(22,AH4:AH29,0),2)</f>
        <v>4380</v>
      </c>
    </row>
    <row r="26" spans="2:36" x14ac:dyDescent="0.2">
      <c r="B26" s="6">
        <f>RANK('1bzr.'!C25,'1bzr.'!$C$3:'1bzr.'!$C$28,1)+COUNTIF('1bzr.'!$C$3:'1bzr.'!C25,'1bzr.'!C25)-1</f>
        <v>11</v>
      </c>
      <c r="C26" s="5" t="str">
        <f>INDEX('1bzr.'!B3:H28,MATCH(23,B4:B29,0),1)</f>
        <v>rzeszowski</v>
      </c>
      <c r="D26" s="6">
        <f>INDEX('1bzr.'!B3:H28,MATCH(23,B4:B29,0),2)</f>
        <v>4507</v>
      </c>
      <c r="E26" s="42">
        <f>INDEX('1bzr.'!B3:H28,MATCH(23,B4:B29,0),3)</f>
        <v>4466</v>
      </c>
      <c r="F26" s="6">
        <f>INDEX('1bzr.'!B3:H28,MATCH(23,B4:B29,0),4)</f>
        <v>41</v>
      </c>
      <c r="G26" s="42">
        <f>INDEX('1bzr.'!B3:H28,MATCH(23,B4:B29,0),6)</f>
        <v>4423</v>
      </c>
      <c r="H26" s="6">
        <f>INDEX('1bzr.'!B3:H28,MATCH(23,B4:B29,0),7)</f>
        <v>84</v>
      </c>
      <c r="V26" s="6">
        <f>RANK('1bzr.'!E25,'1bzr.'!$E$3:'1bzr.'!$E$28,1)+COUNTIF('1bzr.'!$E$3:'1bzr.'!E25,'1bzr.'!E25)-1</f>
        <v>11</v>
      </c>
      <c r="W26" s="135" t="str">
        <f>INDEX('1bzr.'!B3:H28,MATCH(23,V4:V29,0),1)</f>
        <v>dębicki</v>
      </c>
      <c r="X26" s="6">
        <f>INDEX('1bzr.'!E3:H28,MATCH(23,V4:V29,0),1)</f>
        <v>56</v>
      </c>
      <c r="Y26" s="134">
        <v>22</v>
      </c>
      <c r="Z26" s="168">
        <f>RANK('1bzr.'!F25,'1bzr.'!$F$3:'1bzr.'!$F$28,1)+COUNTIF('1bzr.'!$F$3:'1bzr.'!F25,'1bzr.'!F25)-1</f>
        <v>12</v>
      </c>
      <c r="AA26" s="169" t="str">
        <f>INDEX('1bzr.'!B3:G28,MATCH(23,Z4:Z29,0),1)</f>
        <v>Rzeszów</v>
      </c>
      <c r="AB26" s="8">
        <f>INDEX('1bzr.'!D3:H28,MATCH(23,Z4:Z29,0),3)</f>
        <v>2.0477815699658701</v>
      </c>
      <c r="AC26" s="2"/>
      <c r="AD26" s="6">
        <f>RANK('1bzr.'!C25,'1bzr.'!$C$3:'1bzr.'!$C$28,1)+COUNTIF('1bzr.'!$C$3:'1bzr.'!C25,'1bzr.'!C25)-1</f>
        <v>11</v>
      </c>
      <c r="AE26" s="121" t="str">
        <f>INDEX('1bzr.'!B3:H28,MATCH(3,AD4:AD29,0),1)</f>
        <v>Tarnobrzeg</v>
      </c>
      <c r="AF26" s="6">
        <f>INDEX('1bzr.'!B3:L28,MATCH(3,AD4:AD29,0),2)</f>
        <v>1035</v>
      </c>
      <c r="AH26" s="6">
        <f>RANK('1bzr.'!C25,'1bzr.'!$C$3:'1bzr.'!$C$28,1)+COUNTIF('1bzr.'!$C$3:'1bzr.'!C25,'1bzr.'!C25)-1</f>
        <v>11</v>
      </c>
      <c r="AI26" s="121" t="str">
        <f>INDEX('1bzr.'!B3:H28,MATCH(23,AH4:AH29,0),1)</f>
        <v>rzeszowski</v>
      </c>
      <c r="AJ26" s="6">
        <f>INDEX('1bzr.'!B3:L28,MATCH(23,AH4:AH29,0),2)</f>
        <v>4507</v>
      </c>
    </row>
    <row r="27" spans="2:36" x14ac:dyDescent="0.2">
      <c r="B27" s="6">
        <f>RANK('1bzr.'!C26,'1bzr.'!$C$3:'1bzr.'!$C$28,1)+COUNTIF('1bzr.'!$C$3:'1bzr.'!C26,'1bzr.'!C26)-1</f>
        <v>25</v>
      </c>
      <c r="C27" s="5" t="str">
        <f>INDEX('1bzr.'!B3:H28,MATCH(24,B4:B29,0),1)</f>
        <v>jasielski</v>
      </c>
      <c r="D27" s="6">
        <f>INDEX('1bzr.'!B3:H28,MATCH(24,B4:B29,0),2)</f>
        <v>4650</v>
      </c>
      <c r="E27" s="42">
        <f>INDEX('1bzr.'!B3:H28,MATCH(24,B4:B29,0),3)</f>
        <v>4634</v>
      </c>
      <c r="F27" s="6">
        <f>INDEX('1bzr.'!B3:H28,MATCH(24,B4:B29,0),4)</f>
        <v>16</v>
      </c>
      <c r="G27" s="42">
        <f>INDEX('1bzr.'!B3:H28,MATCH(24,B4:B29,0),6)</f>
        <v>4693</v>
      </c>
      <c r="H27" s="6">
        <f>INDEX('1bzr.'!B3:H28,MATCH(24,B4:B29,0),7)</f>
        <v>-43</v>
      </c>
      <c r="V27" s="6">
        <f>RANK('1bzr.'!E26,'1bzr.'!$E$3:'1bzr.'!$E$28,1)+COUNTIF('1bzr.'!$E$3:'1bzr.'!E26,'1bzr.'!E26)-1</f>
        <v>24</v>
      </c>
      <c r="W27" s="135" t="str">
        <f>INDEX('1bzr.'!B3:H28,MATCH(24,V4:V29,0),1)</f>
        <v>Rzeszów</v>
      </c>
      <c r="X27" s="6">
        <f>INDEX('1bzr.'!E3:H28,MATCH(24,V4:V29,0),1)</f>
        <v>102</v>
      </c>
      <c r="Y27" s="134">
        <v>23</v>
      </c>
      <c r="Z27" s="168">
        <f>RANK('1bzr.'!F26,'1bzr.'!$F$3:'1bzr.'!$F$28,1)+COUNTIF('1bzr.'!$F$3:'1bzr.'!F26,'1bzr.'!F26)-1</f>
        <v>23</v>
      </c>
      <c r="AA27" s="169" t="str">
        <f>INDEX('1bzr.'!B3:G28,MATCH(24,Z4:Z29,0),1)</f>
        <v>Tarnobrzeg</v>
      </c>
      <c r="AB27" s="8">
        <f>INDEX('1bzr.'!D3:H28,MATCH(24,Z4:Z29,0),3)</f>
        <v>2.4752475247524752</v>
      </c>
      <c r="AC27" s="2"/>
      <c r="AD27" s="6">
        <f>RANK('1bzr.'!C26,'1bzr.'!$C$3:'1bzr.'!$C$28,1)+COUNTIF('1bzr.'!$C$3:'1bzr.'!C26,'1bzr.'!C26)-1</f>
        <v>25</v>
      </c>
      <c r="AE27" s="121" t="str">
        <f>INDEX('1bzr.'!B3:H28,MATCH(2,AD4:AD29,0),1)</f>
        <v>bieszczadzki</v>
      </c>
      <c r="AF27" s="6">
        <f>INDEX('1bzr.'!B3:L28,MATCH(2,AD4:AD29,0),2)</f>
        <v>982</v>
      </c>
      <c r="AH27" s="6">
        <f>RANK('1bzr.'!C26,'1bzr.'!$C$3:'1bzr.'!$C$28,1)+COUNTIF('1bzr.'!$C$3:'1bzr.'!C26,'1bzr.'!C26)-1</f>
        <v>25</v>
      </c>
      <c r="AI27" s="121" t="str">
        <f>INDEX('1bzr.'!B3:H28,MATCH(24,AH4:AH29,0),1)</f>
        <v>jasielski</v>
      </c>
      <c r="AJ27" s="6">
        <f>INDEX('1bzr.'!B3:L28,MATCH(24,AH4:AH29,0),2)</f>
        <v>4650</v>
      </c>
    </row>
    <row r="28" spans="2:36" x14ac:dyDescent="0.2">
      <c r="B28" s="6">
        <f>RANK('1bzr.'!C27,'1bzr.'!$C$3:'1bzr.'!$C$28,1)+COUNTIF('1bzr.'!$C$3:'1bzr.'!C27,'1bzr.'!C27)-1</f>
        <v>3</v>
      </c>
      <c r="C28" s="5" t="str">
        <f>INDEX('1bzr.'!B3:H28,MATCH(25,B4:B29,0),1)</f>
        <v>Rzeszów</v>
      </c>
      <c r="D28" s="6">
        <f>INDEX('1bzr.'!B3:H28,MATCH(25,B4:B29,0),2)</f>
        <v>5083</v>
      </c>
      <c r="E28" s="42">
        <f>INDEX('1bzr.'!B3:H28,MATCH(25,B4:B29,0),3)</f>
        <v>4981</v>
      </c>
      <c r="F28" s="6">
        <f>INDEX('1bzr.'!B3:H28,MATCH(25,B4:B29,0),4)</f>
        <v>102</v>
      </c>
      <c r="G28" s="42">
        <f>INDEX('1bzr.'!B3:H28,MATCH(25,B4:B29,0),6)</f>
        <v>4933</v>
      </c>
      <c r="H28" s="6">
        <f>INDEX('1bzr.'!B3:H28,MATCH(25,B4:B29,0),7)</f>
        <v>150</v>
      </c>
      <c r="V28" s="6">
        <f>RANK('1bzr.'!E27,'1bzr.'!$E$3:'1bzr.'!$E$28,1)+COUNTIF('1bzr.'!$E$3:'1bzr.'!E27,'1bzr.'!E27)-1</f>
        <v>16</v>
      </c>
      <c r="W28" s="124" t="str">
        <f>INDEX('1bzr.'!B3:H28,MATCH(25,V4:V29,0),1)</f>
        <v>mielecki</v>
      </c>
      <c r="X28" s="6">
        <f>INDEX('1bzr.'!E3:H28,MATCH(25,V4:V29,0),1)</f>
        <v>114</v>
      </c>
      <c r="Y28" s="134">
        <v>24</v>
      </c>
      <c r="Z28" s="168">
        <f>RANK('1bzr.'!F27,'1bzr.'!$F$3:'1bzr.'!$F$28,1)+COUNTIF('1bzr.'!$F$3:'1bzr.'!F27,'1bzr.'!F27)-1</f>
        <v>24</v>
      </c>
      <c r="AA28" s="169" t="str">
        <f>INDEX('1bzr.'!B3:G28,MATCH(25,Z4:Z29,0),1)</f>
        <v>dębicki</v>
      </c>
      <c r="AB28" s="8">
        <f>INDEX('1bzr.'!D3:H28,MATCH(25,Z4:Z29,0),3)</f>
        <v>2.5949953660797034</v>
      </c>
      <c r="AC28" s="2"/>
      <c r="AD28" s="6">
        <f>RANK('1bzr.'!C27,'1bzr.'!$C$3:'1bzr.'!$C$28,1)+COUNTIF('1bzr.'!$C$3:'1bzr.'!C27,'1bzr.'!C27)-1</f>
        <v>3</v>
      </c>
      <c r="AE28" s="121" t="str">
        <f>INDEX('1bzr.'!B3:H28,MATCH(1,AD4:AD29,0),1)</f>
        <v>Krosno</v>
      </c>
      <c r="AF28" s="6">
        <f>INDEX('1bzr.'!B3:L28,MATCH(1,AD4:AD29,0),2)</f>
        <v>887</v>
      </c>
      <c r="AH28" s="6">
        <f>RANK('1bzr.'!C27,'1bzr.'!$C$3:'1bzr.'!$C$28,1)+COUNTIF('1bzr.'!$C$3:'1bzr.'!C27,'1bzr.'!C27)-1</f>
        <v>3</v>
      </c>
      <c r="AI28" s="121" t="str">
        <f>INDEX('1bzr.'!B3:H28,MATCH(25,AH4:AH29,0),1)</f>
        <v>Rzeszów</v>
      </c>
      <c r="AJ28" s="6">
        <f>INDEX('1bzr.'!B3:L28,MATCH(25,AH4:AH29,0),2)</f>
        <v>5083</v>
      </c>
    </row>
    <row r="29" spans="2:36" ht="15" x14ac:dyDescent="0.25">
      <c r="B29" s="40">
        <f>RANK('1bzr.'!C28,'1bzr.'!$C$3:'1bzr.'!$C$28,1)+COUNTIF('1bzr.'!$C$3:'1bzr.'!C28,'1bzr.'!C28)-1</f>
        <v>26</v>
      </c>
      <c r="C29" s="39" t="str">
        <f>INDEX('1bzr.'!B3:H28,MATCH(26,B4:B29,0),1)</f>
        <v>województwo</v>
      </c>
      <c r="D29" s="40">
        <f>INDEX('1bzr.'!B3:H28,MATCH(26,B4:B29,0),2)</f>
        <v>65487</v>
      </c>
      <c r="E29" s="44">
        <f>INDEX('1bzr.'!B3:H28,MATCH(26,B4:B29,0),3)</f>
        <v>64974</v>
      </c>
      <c r="F29" s="40">
        <f>INDEX('1bzr.'!B3:H28,MATCH(26,B4:B29,0),4)</f>
        <v>513</v>
      </c>
      <c r="G29" s="44">
        <f>INDEX('1bzr.'!B3:H28,MATCH(26,B4:B29,0),6)</f>
        <v>63814</v>
      </c>
      <c r="H29" s="40">
        <f>INDEX('1bzr.'!B3:H28,MATCH(26,B4:B29,0),7)</f>
        <v>1673</v>
      </c>
      <c r="V29" s="6">
        <f>RANK('1bzr.'!E28,'1bzr.'!$E$3:'1bzr.'!$E$28,1)+COUNTIF('1bzr.'!$E$3:'1bzr.'!E28,'1bzr.'!E28)-1</f>
        <v>26</v>
      </c>
      <c r="W29" s="167" t="str">
        <f>INDEX('1bzr.'!B3:H28,MATCH(26,V4:V29,0),1)</f>
        <v>województwo</v>
      </c>
      <c r="X29" s="6">
        <f>INDEX('1bzr.'!E3:H28,MATCH(26,V4:V29,0),1)</f>
        <v>513</v>
      </c>
      <c r="Y29" s="134">
        <v>25</v>
      </c>
      <c r="Z29" s="168">
        <f>RANK('1bzr.'!F28,'1bzr.'!$F$3:'1bzr.'!$F$28,1)+COUNTIF('1bzr.'!$F$3:'1bzr.'!F28,'1bzr.'!F28)-1</f>
        <v>13</v>
      </c>
      <c r="AA29" s="169" t="str">
        <f>INDEX('1bzr.'!B3:G28,MATCH(26,Z4:Z29,0),1)</f>
        <v>mielecki</v>
      </c>
      <c r="AB29" s="8">
        <f>INDEX('1bzr.'!D3:H28,MATCH(26,Z4:Z29,0),3)</f>
        <v>3.802535023348899</v>
      </c>
      <c r="AC29" s="2"/>
      <c r="AD29" s="123">
        <f>RANK('1bzr.'!C28,'1bzr.'!$C$3:'1bzr.'!$C$28,1)+COUNTIF('1bzr.'!$C$3:'1bzr.'!C28,'1bzr.'!C28)-1</f>
        <v>26</v>
      </c>
      <c r="AE29" s="142" t="str">
        <f>INDEX('1bzr.'!B3:H28,MATCH(26,AD4:AD29,0),1)</f>
        <v>województwo</v>
      </c>
      <c r="AF29" s="123">
        <f>INDEX('1bzr.'!B3:L28,MATCH(26,AD4:AD29,0),2)</f>
        <v>65487</v>
      </c>
      <c r="AH29" s="123">
        <f>RANK('1bzr.'!C28,'1bzr.'!$C$3:'1bzr.'!$C$28,1)+COUNTIF('1bzr.'!$C$3:'1bzr.'!C28,'1bzr.'!C28)-1</f>
        <v>26</v>
      </c>
      <c r="AI29" s="142" t="str">
        <f>INDEX('1bzr.'!B3:H28,MATCH(26,AH4:AH29,0),1)</f>
        <v>województwo</v>
      </c>
      <c r="AJ29" s="123">
        <f>INDEX('1bzr.'!B3:L28,MATCH(26,AH4:AH29,0),2)</f>
        <v>65487</v>
      </c>
    </row>
    <row r="30" spans="2:36" x14ac:dyDescent="0.2">
      <c r="F30" s="19"/>
      <c r="H30" s="19"/>
      <c r="X30" s="49">
        <f>SUM(X4:X28)</f>
        <v>513</v>
      </c>
      <c r="Y30" s="49"/>
      <c r="Z30" s="49"/>
      <c r="AA30" s="49"/>
      <c r="AB30" s="49"/>
      <c r="AF30" s="143">
        <f>SUM(AF4:AF28)</f>
        <v>65487</v>
      </c>
      <c r="AJ30" s="143">
        <f>SUM(AJ4:AJ28)</f>
        <v>65487</v>
      </c>
    </row>
    <row r="31" spans="2:36" x14ac:dyDescent="0.2">
      <c r="X31" s="49"/>
    </row>
    <row r="32" spans="2:36" x14ac:dyDescent="0.2">
      <c r="X32" s="19"/>
    </row>
  </sheetData>
  <mergeCells count="2">
    <mergeCell ref="V1:X1"/>
    <mergeCell ref="Z1:AB1"/>
  </mergeCells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36</v>
      </c>
      <c r="I1" s="3" t="s">
        <v>39</v>
      </c>
    </row>
    <row r="2" spans="2:12" ht="75" customHeight="1" x14ac:dyDescent="0.2">
      <c r="B2" s="36" t="s">
        <v>27</v>
      </c>
      <c r="C2" s="37" t="s">
        <v>81</v>
      </c>
      <c r="D2" s="38" t="s">
        <v>75</v>
      </c>
      <c r="E2" s="37" t="s">
        <v>28</v>
      </c>
      <c r="F2" s="38" t="s">
        <v>82</v>
      </c>
      <c r="G2" s="37" t="s">
        <v>26</v>
      </c>
      <c r="I2" s="36" t="s">
        <v>27</v>
      </c>
      <c r="J2" s="37" t="str">
        <f>T('1bzr.'!C2)</f>
        <v>liczba bezrobotnych ogółem stan na 30-06-'25 r.</v>
      </c>
      <c r="K2" s="37" t="s">
        <v>34</v>
      </c>
      <c r="L2" s="37" t="s">
        <v>46</v>
      </c>
    </row>
    <row r="3" spans="2:12" x14ac:dyDescent="0.2">
      <c r="B3" s="5" t="s">
        <v>0</v>
      </c>
      <c r="C3" s="6">
        <v>435</v>
      </c>
      <c r="D3" s="42">
        <v>446</v>
      </c>
      <c r="E3" s="6">
        <f t="shared" ref="E3:E26" si="0">SUM(C3)-D3</f>
        <v>-11</v>
      </c>
      <c r="F3" s="42">
        <v>481</v>
      </c>
      <c r="G3" s="6">
        <f t="shared" ref="G3:G26" si="1">SUM(C3)-F3</f>
        <v>-46</v>
      </c>
      <c r="I3" s="5" t="s">
        <v>0</v>
      </c>
      <c r="J3" s="6">
        <f>SUM('1bzr.'!C3)</f>
        <v>982</v>
      </c>
      <c r="K3" s="6">
        <f>SUM(C3)</f>
        <v>435</v>
      </c>
      <c r="L3" s="23">
        <f t="shared" ref="L3:L28" si="2">SUM(K3)/J3*100</f>
        <v>44.29735234215886</v>
      </c>
    </row>
    <row r="4" spans="2:12" x14ac:dyDescent="0.2">
      <c r="B4" s="5" t="s">
        <v>1</v>
      </c>
      <c r="C4" s="6">
        <v>1706</v>
      </c>
      <c r="D4" s="42">
        <v>1733</v>
      </c>
      <c r="E4" s="6">
        <f t="shared" si="0"/>
        <v>-27</v>
      </c>
      <c r="F4" s="42">
        <v>1736</v>
      </c>
      <c r="G4" s="6">
        <f t="shared" si="1"/>
        <v>-30</v>
      </c>
      <c r="I4" s="5" t="s">
        <v>1</v>
      </c>
      <c r="J4" s="6">
        <f>SUM('1bzr.'!C4)</f>
        <v>3452</v>
      </c>
      <c r="K4" s="6">
        <f t="shared" ref="K4:K27" si="3">SUM(C4)</f>
        <v>1706</v>
      </c>
      <c r="L4" s="23">
        <f t="shared" si="2"/>
        <v>49.420625724217842</v>
      </c>
    </row>
    <row r="5" spans="2:12" x14ac:dyDescent="0.2">
      <c r="B5" s="5" t="s">
        <v>2</v>
      </c>
      <c r="C5" s="6">
        <v>1308</v>
      </c>
      <c r="D5" s="42">
        <v>1272</v>
      </c>
      <c r="E5" s="6">
        <f t="shared" si="0"/>
        <v>36</v>
      </c>
      <c r="F5" s="42">
        <v>1363</v>
      </c>
      <c r="G5" s="6">
        <f t="shared" si="1"/>
        <v>-55</v>
      </c>
      <c r="I5" s="5" t="s">
        <v>2</v>
      </c>
      <c r="J5" s="6">
        <f>SUM('1bzr.'!C5)</f>
        <v>2214</v>
      </c>
      <c r="K5" s="6">
        <f t="shared" si="3"/>
        <v>1308</v>
      </c>
      <c r="L5" s="23">
        <f t="shared" si="2"/>
        <v>59.078590785907856</v>
      </c>
    </row>
    <row r="6" spans="2:12" x14ac:dyDescent="0.2">
      <c r="B6" s="5" t="s">
        <v>3</v>
      </c>
      <c r="C6" s="6">
        <v>2214</v>
      </c>
      <c r="D6" s="42">
        <v>2199</v>
      </c>
      <c r="E6" s="6">
        <f t="shared" si="0"/>
        <v>15</v>
      </c>
      <c r="F6" s="42">
        <v>2174</v>
      </c>
      <c r="G6" s="6">
        <f t="shared" si="1"/>
        <v>40</v>
      </c>
      <c r="I6" s="5" t="s">
        <v>3</v>
      </c>
      <c r="J6" s="6">
        <f>SUM('1bzr.'!C6)</f>
        <v>4380</v>
      </c>
      <c r="K6" s="6">
        <f t="shared" si="3"/>
        <v>2214</v>
      </c>
      <c r="L6" s="23">
        <f t="shared" si="2"/>
        <v>50.547945205479451</v>
      </c>
    </row>
    <row r="7" spans="2:12" x14ac:dyDescent="0.2">
      <c r="B7" s="5" t="s">
        <v>4</v>
      </c>
      <c r="C7" s="6">
        <v>2637</v>
      </c>
      <c r="D7" s="42">
        <v>2609</v>
      </c>
      <c r="E7" s="6">
        <f t="shared" si="0"/>
        <v>28</v>
      </c>
      <c r="F7" s="42">
        <v>2729</v>
      </c>
      <c r="G7" s="6">
        <f t="shared" si="1"/>
        <v>-92</v>
      </c>
      <c r="I7" s="5" t="s">
        <v>4</v>
      </c>
      <c r="J7" s="6">
        <f>SUM('1bzr.'!C7)</f>
        <v>4650</v>
      </c>
      <c r="K7" s="6">
        <f t="shared" si="3"/>
        <v>2637</v>
      </c>
      <c r="L7" s="23">
        <f t="shared" si="2"/>
        <v>56.70967741935484</v>
      </c>
    </row>
    <row r="8" spans="2:12" x14ac:dyDescent="0.2">
      <c r="B8" s="5" t="s">
        <v>5</v>
      </c>
      <c r="C8" s="6">
        <v>690</v>
      </c>
      <c r="D8" s="42">
        <v>692</v>
      </c>
      <c r="E8" s="6">
        <f t="shared" si="0"/>
        <v>-2</v>
      </c>
      <c r="F8" s="42">
        <v>706</v>
      </c>
      <c r="G8" s="6">
        <f t="shared" si="1"/>
        <v>-16</v>
      </c>
      <c r="I8" s="5" t="s">
        <v>5</v>
      </c>
      <c r="J8" s="6">
        <f>SUM('1bzr.'!C8)</f>
        <v>1480</v>
      </c>
      <c r="K8" s="6">
        <f t="shared" si="3"/>
        <v>690</v>
      </c>
      <c r="L8" s="23">
        <f>SUM(K8)/J8*100</f>
        <v>46.621621621621621</v>
      </c>
    </row>
    <row r="9" spans="2:12" x14ac:dyDescent="0.2">
      <c r="B9" s="9" t="s">
        <v>6</v>
      </c>
      <c r="C9" s="6">
        <v>1304</v>
      </c>
      <c r="D9" s="42">
        <v>1291</v>
      </c>
      <c r="E9" s="6">
        <f t="shared" si="0"/>
        <v>13</v>
      </c>
      <c r="F9" s="42">
        <v>1161</v>
      </c>
      <c r="G9" s="6">
        <f t="shared" si="1"/>
        <v>143</v>
      </c>
      <c r="I9" s="9" t="s">
        <v>6</v>
      </c>
      <c r="J9" s="6">
        <f>SUM('1bzr.'!C9)</f>
        <v>2372</v>
      </c>
      <c r="K9" s="6">
        <f t="shared" si="3"/>
        <v>1304</v>
      </c>
      <c r="L9" s="23">
        <f t="shared" si="2"/>
        <v>54.974704890387862</v>
      </c>
    </row>
    <row r="10" spans="2:12" x14ac:dyDescent="0.2">
      <c r="B10" s="5" t="s">
        <v>7</v>
      </c>
      <c r="C10" s="6">
        <v>683</v>
      </c>
      <c r="D10" s="42">
        <v>696</v>
      </c>
      <c r="E10" s="6">
        <f t="shared" si="0"/>
        <v>-13</v>
      </c>
      <c r="F10" s="42">
        <v>697</v>
      </c>
      <c r="G10" s="6">
        <f t="shared" si="1"/>
        <v>-14</v>
      </c>
      <c r="I10" s="5" t="s">
        <v>7</v>
      </c>
      <c r="J10" s="6">
        <f>SUM('1bzr.'!C10)</f>
        <v>1522</v>
      </c>
      <c r="K10" s="6">
        <f t="shared" si="3"/>
        <v>683</v>
      </c>
      <c r="L10" s="23">
        <f t="shared" si="2"/>
        <v>44.875164257555852</v>
      </c>
    </row>
    <row r="11" spans="2:12" x14ac:dyDescent="0.2">
      <c r="B11" s="5" t="s">
        <v>8</v>
      </c>
      <c r="C11" s="6">
        <v>1481</v>
      </c>
      <c r="D11" s="42">
        <v>1432</v>
      </c>
      <c r="E11" s="6">
        <f t="shared" si="0"/>
        <v>49</v>
      </c>
      <c r="F11" s="42">
        <v>1462</v>
      </c>
      <c r="G11" s="6">
        <f t="shared" si="1"/>
        <v>19</v>
      </c>
      <c r="I11" s="5" t="s">
        <v>8</v>
      </c>
      <c r="J11" s="6">
        <f>SUM('1bzr.'!C11)</f>
        <v>2840</v>
      </c>
      <c r="K11" s="6">
        <f t="shared" si="3"/>
        <v>1481</v>
      </c>
      <c r="L11" s="23">
        <f t="shared" si="2"/>
        <v>52.147887323943664</v>
      </c>
    </row>
    <row r="12" spans="2:12" x14ac:dyDescent="0.2">
      <c r="B12" s="5" t="s">
        <v>9</v>
      </c>
      <c r="C12" s="6">
        <v>673</v>
      </c>
      <c r="D12" s="42">
        <v>658</v>
      </c>
      <c r="E12" s="6">
        <f t="shared" si="0"/>
        <v>15</v>
      </c>
      <c r="F12" s="42">
        <v>732</v>
      </c>
      <c r="G12" s="6">
        <f t="shared" si="1"/>
        <v>-59</v>
      </c>
      <c r="I12" s="5" t="s">
        <v>9</v>
      </c>
      <c r="J12" s="6">
        <f>SUM('1bzr.'!C12)</f>
        <v>1528</v>
      </c>
      <c r="K12" s="6">
        <f t="shared" si="3"/>
        <v>673</v>
      </c>
      <c r="L12" s="23">
        <f t="shared" si="2"/>
        <v>44.044502617801044</v>
      </c>
    </row>
    <row r="13" spans="2:12" x14ac:dyDescent="0.2">
      <c r="B13" s="5" t="s">
        <v>10</v>
      </c>
      <c r="C13" s="6">
        <v>1089</v>
      </c>
      <c r="D13" s="42">
        <v>1112</v>
      </c>
      <c r="E13" s="6">
        <f t="shared" si="0"/>
        <v>-23</v>
      </c>
      <c r="F13" s="42">
        <v>1166</v>
      </c>
      <c r="G13" s="6">
        <f t="shared" si="1"/>
        <v>-77</v>
      </c>
      <c r="I13" s="5" t="s">
        <v>10</v>
      </c>
      <c r="J13" s="6">
        <f>SUM('1bzr.'!C13)</f>
        <v>2323</v>
      </c>
      <c r="K13" s="6">
        <f t="shared" si="3"/>
        <v>1089</v>
      </c>
      <c r="L13" s="23">
        <f t="shared" si="2"/>
        <v>46.879035729659925</v>
      </c>
    </row>
    <row r="14" spans="2:12" x14ac:dyDescent="0.2">
      <c r="B14" s="5" t="s">
        <v>11</v>
      </c>
      <c r="C14" s="6">
        <v>1463</v>
      </c>
      <c r="D14" s="42">
        <v>1411</v>
      </c>
      <c r="E14" s="6">
        <f t="shared" si="0"/>
        <v>52</v>
      </c>
      <c r="F14" s="42">
        <v>1418</v>
      </c>
      <c r="G14" s="6">
        <f t="shared" si="1"/>
        <v>45</v>
      </c>
      <c r="I14" s="5" t="s">
        <v>11</v>
      </c>
      <c r="J14" s="6">
        <f>SUM('1bzr.'!C14)</f>
        <v>3112</v>
      </c>
      <c r="K14" s="6">
        <f t="shared" si="3"/>
        <v>1463</v>
      </c>
      <c r="L14" s="23">
        <f t="shared" si="2"/>
        <v>47.011568123393317</v>
      </c>
    </row>
    <row r="15" spans="2:12" x14ac:dyDescent="0.2">
      <c r="B15" s="5" t="s">
        <v>12</v>
      </c>
      <c r="C15" s="6">
        <v>1392</v>
      </c>
      <c r="D15" s="42">
        <v>1386</v>
      </c>
      <c r="E15" s="6">
        <f t="shared" si="0"/>
        <v>6</v>
      </c>
      <c r="F15" s="42">
        <v>1409</v>
      </c>
      <c r="G15" s="6">
        <f t="shared" si="1"/>
        <v>-17</v>
      </c>
      <c r="I15" s="5" t="s">
        <v>12</v>
      </c>
      <c r="J15" s="6">
        <f>SUM('1bzr.'!C15)</f>
        <v>2804</v>
      </c>
      <c r="K15" s="6">
        <f t="shared" si="3"/>
        <v>1392</v>
      </c>
      <c r="L15" s="23">
        <f t="shared" si="2"/>
        <v>49.643366619115547</v>
      </c>
    </row>
    <row r="16" spans="2:12" x14ac:dyDescent="0.2">
      <c r="B16" s="5" t="s">
        <v>13</v>
      </c>
      <c r="C16" s="6">
        <v>1360</v>
      </c>
      <c r="D16" s="42">
        <v>1346</v>
      </c>
      <c r="E16" s="6">
        <f t="shared" si="0"/>
        <v>14</v>
      </c>
      <c r="F16" s="42">
        <v>1366</v>
      </c>
      <c r="G16" s="6">
        <f t="shared" si="1"/>
        <v>-6</v>
      </c>
      <c r="I16" s="5" t="s">
        <v>13</v>
      </c>
      <c r="J16" s="6">
        <f>SUM('1bzr.'!C16)</f>
        <v>2834</v>
      </c>
      <c r="K16" s="6">
        <f t="shared" si="3"/>
        <v>1360</v>
      </c>
      <c r="L16" s="23">
        <f t="shared" si="2"/>
        <v>47.988708539167256</v>
      </c>
    </row>
    <row r="17" spans="2:12" x14ac:dyDescent="0.2">
      <c r="B17" s="5" t="s">
        <v>14</v>
      </c>
      <c r="C17" s="6">
        <v>1698</v>
      </c>
      <c r="D17" s="42">
        <v>1690</v>
      </c>
      <c r="E17" s="6">
        <f t="shared" si="0"/>
        <v>8</v>
      </c>
      <c r="F17" s="42">
        <v>1707</v>
      </c>
      <c r="G17" s="6">
        <f t="shared" si="1"/>
        <v>-9</v>
      </c>
      <c r="I17" s="5" t="s">
        <v>14</v>
      </c>
      <c r="J17" s="6">
        <f>SUM('1bzr.'!C17)</f>
        <v>3277</v>
      </c>
      <c r="K17" s="6">
        <f t="shared" si="3"/>
        <v>1698</v>
      </c>
      <c r="L17" s="23">
        <f t="shared" si="2"/>
        <v>51.815685077815075</v>
      </c>
    </row>
    <row r="18" spans="2:12" x14ac:dyDescent="0.2">
      <c r="B18" s="5" t="s">
        <v>15</v>
      </c>
      <c r="C18" s="6">
        <v>1346</v>
      </c>
      <c r="D18" s="42">
        <v>1329</v>
      </c>
      <c r="E18" s="6">
        <f t="shared" si="0"/>
        <v>17</v>
      </c>
      <c r="F18" s="42">
        <v>1359</v>
      </c>
      <c r="G18" s="6">
        <f t="shared" si="1"/>
        <v>-13</v>
      </c>
      <c r="I18" s="5" t="s">
        <v>15</v>
      </c>
      <c r="J18" s="6">
        <f>SUM('1bzr.'!C18)</f>
        <v>2631</v>
      </c>
      <c r="K18" s="6">
        <f t="shared" si="3"/>
        <v>1346</v>
      </c>
      <c r="L18" s="23">
        <f t="shared" si="2"/>
        <v>51.159255036107943</v>
      </c>
    </row>
    <row r="19" spans="2:12" x14ac:dyDescent="0.2">
      <c r="B19" s="5" t="s">
        <v>16</v>
      </c>
      <c r="C19" s="6">
        <v>2095</v>
      </c>
      <c r="D19" s="42">
        <v>2079</v>
      </c>
      <c r="E19" s="6">
        <f t="shared" si="0"/>
        <v>16</v>
      </c>
      <c r="F19" s="42">
        <v>2117</v>
      </c>
      <c r="G19" s="6">
        <f t="shared" si="1"/>
        <v>-22</v>
      </c>
      <c r="I19" s="5" t="s">
        <v>16</v>
      </c>
      <c r="J19" s="6">
        <f>SUM('1bzr.'!C19)</f>
        <v>4507</v>
      </c>
      <c r="K19" s="6">
        <f t="shared" si="3"/>
        <v>2095</v>
      </c>
      <c r="L19" s="23">
        <f t="shared" si="2"/>
        <v>46.483248280452628</v>
      </c>
    </row>
    <row r="20" spans="2:12" x14ac:dyDescent="0.2">
      <c r="B20" s="5" t="s">
        <v>17</v>
      </c>
      <c r="C20" s="6">
        <v>1381</v>
      </c>
      <c r="D20" s="42">
        <v>1389</v>
      </c>
      <c r="E20" s="6">
        <f t="shared" si="0"/>
        <v>-8</v>
      </c>
      <c r="F20" s="42">
        <v>1309</v>
      </c>
      <c r="G20" s="6">
        <f t="shared" si="1"/>
        <v>72</v>
      </c>
      <c r="I20" s="5" t="s">
        <v>17</v>
      </c>
      <c r="J20" s="6">
        <f>SUM('1bzr.'!C20)</f>
        <v>2839</v>
      </c>
      <c r="K20" s="6">
        <f t="shared" si="3"/>
        <v>1381</v>
      </c>
      <c r="L20" s="23">
        <f t="shared" si="2"/>
        <v>48.643888693201831</v>
      </c>
    </row>
    <row r="21" spans="2:12" x14ac:dyDescent="0.2">
      <c r="B21" s="5" t="s">
        <v>18</v>
      </c>
      <c r="C21" s="6">
        <v>1119</v>
      </c>
      <c r="D21" s="42">
        <v>1105</v>
      </c>
      <c r="E21" s="6">
        <f t="shared" si="0"/>
        <v>14</v>
      </c>
      <c r="F21" s="42">
        <v>965</v>
      </c>
      <c r="G21" s="6">
        <f t="shared" si="1"/>
        <v>154</v>
      </c>
      <c r="I21" s="5" t="s">
        <v>18</v>
      </c>
      <c r="J21" s="6">
        <f>SUM('1bzr.'!C21)</f>
        <v>2211</v>
      </c>
      <c r="K21" s="6">
        <f t="shared" si="3"/>
        <v>1119</v>
      </c>
      <c r="L21" s="23">
        <f t="shared" si="2"/>
        <v>50.610583446404348</v>
      </c>
    </row>
    <row r="22" spans="2:12" x14ac:dyDescent="0.2">
      <c r="B22" s="5" t="s">
        <v>19</v>
      </c>
      <c r="C22" s="6">
        <v>1465</v>
      </c>
      <c r="D22" s="42">
        <v>1452</v>
      </c>
      <c r="E22" s="6">
        <f t="shared" si="0"/>
        <v>13</v>
      </c>
      <c r="F22" s="42">
        <v>1538</v>
      </c>
      <c r="G22" s="6">
        <f t="shared" si="1"/>
        <v>-73</v>
      </c>
      <c r="I22" s="5" t="s">
        <v>19</v>
      </c>
      <c r="J22" s="6">
        <f>SUM('1bzr.'!C22)</f>
        <v>2935</v>
      </c>
      <c r="K22" s="6">
        <f t="shared" si="3"/>
        <v>1465</v>
      </c>
      <c r="L22" s="23">
        <f t="shared" si="2"/>
        <v>49.914821124361161</v>
      </c>
    </row>
    <row r="23" spans="2:12" x14ac:dyDescent="0.2">
      <c r="B23" s="5" t="s">
        <v>20</v>
      </c>
      <c r="C23" s="6">
        <v>615</v>
      </c>
      <c r="D23" s="42">
        <v>601</v>
      </c>
      <c r="E23" s="6">
        <f t="shared" si="0"/>
        <v>14</v>
      </c>
      <c r="F23" s="42">
        <v>602</v>
      </c>
      <c r="G23" s="6">
        <f t="shared" si="1"/>
        <v>13</v>
      </c>
      <c r="I23" s="5" t="s">
        <v>20</v>
      </c>
      <c r="J23" s="6">
        <f>SUM('1bzr.'!C23)</f>
        <v>1234</v>
      </c>
      <c r="K23" s="6">
        <f t="shared" si="3"/>
        <v>615</v>
      </c>
      <c r="L23" s="23">
        <f t="shared" si="2"/>
        <v>49.837925445705025</v>
      </c>
    </row>
    <row r="24" spans="2:12" x14ac:dyDescent="0.2">
      <c r="B24" s="5" t="s">
        <v>21</v>
      </c>
      <c r="C24" s="6">
        <v>459</v>
      </c>
      <c r="D24" s="42">
        <v>463</v>
      </c>
      <c r="E24" s="6">
        <f t="shared" si="0"/>
        <v>-4</v>
      </c>
      <c r="F24" s="42">
        <v>411</v>
      </c>
      <c r="G24" s="6">
        <f t="shared" si="1"/>
        <v>48</v>
      </c>
      <c r="I24" s="5" t="s">
        <v>21</v>
      </c>
      <c r="J24" s="6">
        <f>SUM('1bzr.'!C24)</f>
        <v>887</v>
      </c>
      <c r="K24" s="6">
        <f t="shared" si="3"/>
        <v>459</v>
      </c>
      <c r="L24" s="23">
        <f t="shared" si="2"/>
        <v>51.747463359639234</v>
      </c>
    </row>
    <row r="25" spans="2:12" x14ac:dyDescent="0.2">
      <c r="B25" s="5" t="s">
        <v>22</v>
      </c>
      <c r="C25" s="6">
        <v>1073</v>
      </c>
      <c r="D25" s="42">
        <v>1067</v>
      </c>
      <c r="E25" s="6">
        <f t="shared" si="0"/>
        <v>6</v>
      </c>
      <c r="F25" s="42">
        <v>1079</v>
      </c>
      <c r="G25" s="6">
        <f t="shared" si="1"/>
        <v>-6</v>
      </c>
      <c r="I25" s="5" t="s">
        <v>22</v>
      </c>
      <c r="J25" s="6">
        <f>SUM('1bzr.'!C25)</f>
        <v>2355</v>
      </c>
      <c r="K25" s="6">
        <f t="shared" si="3"/>
        <v>1073</v>
      </c>
      <c r="L25" s="23">
        <f t="shared" si="2"/>
        <v>45.562632696390658</v>
      </c>
    </row>
    <row r="26" spans="2:12" x14ac:dyDescent="0.2">
      <c r="B26" s="5" t="s">
        <v>23</v>
      </c>
      <c r="C26" s="6">
        <v>2508</v>
      </c>
      <c r="D26" s="42">
        <v>2452</v>
      </c>
      <c r="E26" s="6">
        <f t="shared" si="0"/>
        <v>56</v>
      </c>
      <c r="F26" s="42">
        <v>2479</v>
      </c>
      <c r="G26" s="6">
        <f t="shared" si="1"/>
        <v>29</v>
      </c>
      <c r="I26" s="5" t="s">
        <v>23</v>
      </c>
      <c r="J26" s="6">
        <f>SUM('1bzr.'!C26)</f>
        <v>5083</v>
      </c>
      <c r="K26" s="6">
        <f t="shared" si="3"/>
        <v>2508</v>
      </c>
      <c r="L26" s="23">
        <f t="shared" si="2"/>
        <v>49.340940389533742</v>
      </c>
    </row>
    <row r="27" spans="2:12" x14ac:dyDescent="0.2">
      <c r="B27" s="5" t="s">
        <v>24</v>
      </c>
      <c r="C27" s="6">
        <v>501</v>
      </c>
      <c r="D27" s="42">
        <v>499</v>
      </c>
      <c r="E27" s="6">
        <f>SUM(C27)-D27</f>
        <v>2</v>
      </c>
      <c r="F27" s="42">
        <v>498</v>
      </c>
      <c r="G27" s="6">
        <f>SUM(C27)-F27</f>
        <v>3</v>
      </c>
      <c r="I27" s="5" t="s">
        <v>24</v>
      </c>
      <c r="J27" s="6">
        <f>SUM('1bzr.'!C27)</f>
        <v>1035</v>
      </c>
      <c r="K27" s="6">
        <f t="shared" si="3"/>
        <v>501</v>
      </c>
      <c r="L27" s="23">
        <f t="shared" si="2"/>
        <v>48.405797101449281</v>
      </c>
    </row>
    <row r="28" spans="2:12" ht="15" x14ac:dyDescent="0.25">
      <c r="B28" s="39" t="s">
        <v>25</v>
      </c>
      <c r="C28" s="40">
        <f>SUM(C3:C27)</f>
        <v>32695</v>
      </c>
      <c r="D28" s="41">
        <f>SUM(D3:D27)</f>
        <v>32409</v>
      </c>
      <c r="E28" s="40">
        <f>SUM(E3:E27)</f>
        <v>286</v>
      </c>
      <c r="F28" s="41">
        <f>SUM(F3:F27)</f>
        <v>32664</v>
      </c>
      <c r="G28" s="40">
        <f>SUM(G3:G27)</f>
        <v>31</v>
      </c>
      <c r="I28" s="39" t="s">
        <v>25</v>
      </c>
      <c r="J28" s="40">
        <f>SUM(J3:J27)</f>
        <v>65487</v>
      </c>
      <c r="K28" s="40">
        <f>SUM(K3:K27)</f>
        <v>32695</v>
      </c>
      <c r="L28" s="45">
        <f t="shared" si="2"/>
        <v>49.925939499442642</v>
      </c>
    </row>
    <row r="29" spans="2:12" x14ac:dyDescent="0.2">
      <c r="E29" s="19"/>
      <c r="F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36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T('2kob.'!B2)</f>
        <v>powiaty</v>
      </c>
      <c r="D3" s="36" t="str">
        <f>T('2kob.'!C2)</f>
        <v>liczba bezrobotnych kobiet stan na 30-06-'25 r.</v>
      </c>
      <c r="E3" s="36" t="str">
        <f>T('2kob.'!D2)</f>
        <v>liczba bezrobotnych kobiet stan na 31-05-'25 r.</v>
      </c>
      <c r="F3" s="36" t="str">
        <f>T('2kob.'!E2)</f>
        <v>wzrost/spadek do poprzedniego  miesiąca</v>
      </c>
      <c r="G3" s="36" t="str">
        <f>T('2kob.'!F2)</f>
        <v>liczba bezrobotnych kobiet stan na 30-06-'24 r.</v>
      </c>
      <c r="H3" s="36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1</v>
      </c>
      <c r="C4" s="5" t="str">
        <f>INDEX('2kob.'!B3:G28,MATCH(1,B4:B29,0),1)</f>
        <v>bieszczadzki</v>
      </c>
      <c r="D4" s="24">
        <f>INDEX('2kob.'!B3:G28,MATCH(1,B4:B29,0),2)</f>
        <v>435</v>
      </c>
      <c r="E4" s="42">
        <f>INDEX('2kob.'!B3:G28,MATCH(1,B4:B29,0),3)</f>
        <v>446</v>
      </c>
      <c r="F4" s="6">
        <f>INDEX('2kob.'!B3:G28,MATCH(1,B4:B29,0),4)</f>
        <v>-11</v>
      </c>
      <c r="G4" s="42">
        <f>INDEX('2kob.'!B3:G28,MATCH(1,B4:B29,0),5)</f>
        <v>481</v>
      </c>
      <c r="H4" s="6">
        <f>INDEX('2kob.'!B3:G28,MATCH(1,B4:B29,0),6)</f>
        <v>-46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Krosno</v>
      </c>
      <c r="D5" s="6">
        <f>INDEX('2kob.'!B3:G28,MATCH(2,B4:B29,0),2)</f>
        <v>459</v>
      </c>
      <c r="E5" s="42">
        <f>INDEX('2kob.'!B3:G28,MATCH(2,B4:B29,0),3)</f>
        <v>463</v>
      </c>
      <c r="F5" s="6">
        <f>INDEX('2kob.'!B3:G28,MATCH(2,B4:B29,0),4)</f>
        <v>-4</v>
      </c>
      <c r="G5" s="42">
        <f>INDEX('2kob.'!B3:G28,MATCH(2,B4:B29,0),5)</f>
        <v>411</v>
      </c>
      <c r="H5" s="6">
        <f>INDEX('2kob.'!B3:G28,MATCH(2,B4:B29,0),6)</f>
        <v>48</v>
      </c>
    </row>
    <row r="6" spans="2:8" x14ac:dyDescent="0.2">
      <c r="B6" s="6">
        <f>RANK('2kob.'!C5,'2kob.'!$C$3:'2kob.'!$C$28,1)+COUNTIF('2kob.'!$C$3:'2kob.'!C5,'2kob.'!C5)-1</f>
        <v>12</v>
      </c>
      <c r="C6" s="5" t="str">
        <f>INDEX('2kob.'!B3:G28,MATCH(3,B4:B29,0),1)</f>
        <v>Tarnobrzeg</v>
      </c>
      <c r="D6" s="6">
        <f>INDEX('2kob.'!B3:G28,MATCH(3,B4:B29,0),2)</f>
        <v>501</v>
      </c>
      <c r="E6" s="42">
        <f>INDEX('2kob.'!B3:G28,MATCH(3,B4:B29,0),3)</f>
        <v>499</v>
      </c>
      <c r="F6" s="6">
        <f>INDEX('2kob.'!B3:G28,MATCH(3,B4:B29,0),4)</f>
        <v>2</v>
      </c>
      <c r="G6" s="42">
        <f>INDEX('2kob.'!B3:G28,MATCH(3,B4:B29,0),5)</f>
        <v>498</v>
      </c>
      <c r="H6" s="6">
        <f>INDEX('2kob.'!B3:G28,MATCH(3,B4:B29,0),6)</f>
        <v>3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615</v>
      </c>
      <c r="E7" s="42">
        <f>INDEX('2kob.'!B3:G28,MATCH(4,B4:B29,0),3)</f>
        <v>601</v>
      </c>
      <c r="F7" s="6">
        <f>INDEX('2kob.'!B3:G28,MATCH(4,B4:B29,0),4)</f>
        <v>14</v>
      </c>
      <c r="G7" s="42">
        <f>INDEX('2kob.'!B3:G28,MATCH(4,B4:B29,0),5)</f>
        <v>602</v>
      </c>
      <c r="H7" s="6">
        <f>INDEX('2kob.'!B3:G28,MATCH(4,B4:B29,0),6)</f>
        <v>13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lubaczowski</v>
      </c>
      <c r="D8" s="6">
        <f>INDEX('2kob.'!B3:G28,MATCH(5,B4:B29,0),2)</f>
        <v>673</v>
      </c>
      <c r="E8" s="42">
        <f>INDEX('2kob.'!B3:G28,MATCH(5,B4:B29,0),3)</f>
        <v>658</v>
      </c>
      <c r="F8" s="6">
        <f>INDEX('2kob.'!B3:G28,MATCH(5,B4:B29,0),4)</f>
        <v>15</v>
      </c>
      <c r="G8" s="42">
        <f>INDEX('2kob.'!B3:G28,MATCH(5,B4:B29,0),5)</f>
        <v>732</v>
      </c>
      <c r="H8" s="6">
        <f>INDEX('2kob.'!B3:G28,MATCH(5,B4:B29,0),6)</f>
        <v>-59</v>
      </c>
    </row>
    <row r="9" spans="2:8" x14ac:dyDescent="0.2">
      <c r="B9" s="6">
        <f>RANK('2kob.'!C8,'2kob.'!$C$3:'2kob.'!$C$28,1)+COUNTIF('2kob.'!$C$3:'2kob.'!C8,'2kob.'!C8)-1</f>
        <v>7</v>
      </c>
      <c r="C9" s="5" t="str">
        <f>INDEX('2kob.'!B3:G28,MATCH(6,B4:B29,0),1)</f>
        <v>leski</v>
      </c>
      <c r="D9" s="6">
        <f>INDEX('2kob.'!B3:G28,MATCH(6,B4:B29,0),2)</f>
        <v>683</v>
      </c>
      <c r="E9" s="42">
        <f>INDEX('2kob.'!B3:G28,MATCH(6,B4:B29,0),3)</f>
        <v>696</v>
      </c>
      <c r="F9" s="6">
        <f>INDEX('2kob.'!B3:G28,MATCH(6,B4:B29,0),4)</f>
        <v>-13</v>
      </c>
      <c r="G9" s="42">
        <f>INDEX('2kob.'!B3:G28,MATCH(6,B4:B29,0),5)</f>
        <v>697</v>
      </c>
      <c r="H9" s="6">
        <f>INDEX('2kob.'!B3:G28,MATCH(6,B4:B29,0),6)</f>
        <v>-14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kolbuszowski</v>
      </c>
      <c r="D10" s="6">
        <f>INDEX('2kob.'!B3:G28,MATCH(7,B4:B29,0),2)</f>
        <v>690</v>
      </c>
      <c r="E10" s="42">
        <f>INDEX('2kob.'!B3:G28,MATCH(7,B4:B29,0),3)</f>
        <v>692</v>
      </c>
      <c r="F10" s="6">
        <f>INDEX('2kob.'!B3:G28,MATCH(7,B4:B29,0),4)</f>
        <v>-2</v>
      </c>
      <c r="G10" s="42">
        <f>INDEX('2kob.'!B3:G28,MATCH(7,B4:B29,0),5)</f>
        <v>706</v>
      </c>
      <c r="H10" s="6">
        <f>INDEX('2kob.'!B3:G28,MATCH(7,B4:B29,0),6)</f>
        <v>-16</v>
      </c>
    </row>
    <row r="11" spans="2:8" x14ac:dyDescent="0.2">
      <c r="B11" s="6">
        <f>RANK('2kob.'!C10,'2kob.'!$C$3:'2kob.'!$C$28,1)+COUNTIF('2kob.'!$C$3:'2kob.'!C10,'2kob.'!C10)-1</f>
        <v>6</v>
      </c>
      <c r="C11" s="5" t="str">
        <f>INDEX('2kob.'!B3:G28,MATCH(8,B4:B29,0),1)</f>
        <v>Przemyśl</v>
      </c>
      <c r="D11" s="6">
        <f>INDEX('2kob.'!B3:G28,MATCH(8,B4:B29,0),2)</f>
        <v>1073</v>
      </c>
      <c r="E11" s="42">
        <f>INDEX('2kob.'!B3:G28,MATCH(8,B4:B29,0),3)</f>
        <v>1067</v>
      </c>
      <c r="F11" s="6">
        <f>INDEX('2kob.'!B3:G28,MATCH(8,B4:B29,0),4)</f>
        <v>6</v>
      </c>
      <c r="G11" s="42">
        <f>INDEX('2kob.'!B3:G28,MATCH(8,B4:B29,0),5)</f>
        <v>1079</v>
      </c>
      <c r="H11" s="6">
        <f>INDEX('2kob.'!B3:G28,MATCH(8,B4:B29,0),6)</f>
        <v>-6</v>
      </c>
    </row>
    <row r="12" spans="2:8" x14ac:dyDescent="0.2">
      <c r="B12" s="6">
        <f>RANK('2kob.'!C11,'2kob.'!$C$3:'2kob.'!$C$28,1)+COUNTIF('2kob.'!$C$3:'2kob.'!C11,'2kob.'!C11)-1</f>
        <v>19</v>
      </c>
      <c r="C12" s="5" t="str">
        <f>INDEX('2kob.'!B3:G28,MATCH(9,B4:B29,0),1)</f>
        <v>łańcucki</v>
      </c>
      <c r="D12" s="6">
        <f>INDEX('2kob.'!B3:G28,MATCH(9,B4:B29,0),2)</f>
        <v>1089</v>
      </c>
      <c r="E12" s="42">
        <f>INDEX('2kob.'!B3:G28,MATCH(9,B4:B29,0),3)</f>
        <v>1112</v>
      </c>
      <c r="F12" s="6">
        <f>INDEX('2kob.'!B3:G28,MATCH(9,B4:B29,0),4)</f>
        <v>-23</v>
      </c>
      <c r="G12" s="42">
        <f>INDEX('2kob.'!B3:G28,MATCH(9,B4:B29,0),5)</f>
        <v>1166</v>
      </c>
      <c r="H12" s="6">
        <f>INDEX('2kob.'!B3:G28,MATCH(9,B4:B29,0),6)</f>
        <v>-77</v>
      </c>
    </row>
    <row r="13" spans="2:8" x14ac:dyDescent="0.2">
      <c r="B13" s="6">
        <f>RANK('2kob.'!C12,'2kob.'!$C$3:'2kob.'!$C$28,1)+COUNTIF('2kob.'!$C$3:'2kob.'!C12,'2kob.'!C12)-1</f>
        <v>5</v>
      </c>
      <c r="C13" s="5" t="str">
        <f>INDEX('2kob.'!B3:G28,MATCH(10,B4:B29,0),1)</f>
        <v>stalowowolski</v>
      </c>
      <c r="D13" s="6">
        <f>INDEX('2kob.'!B3:G28,MATCH(10,B4:B29,0),2)</f>
        <v>1119</v>
      </c>
      <c r="E13" s="42">
        <f>INDEX('2kob.'!B3:G28,MATCH(10,B4:B29,0),3)</f>
        <v>1105</v>
      </c>
      <c r="F13" s="6">
        <f>INDEX('2kob.'!B3:G28,MATCH(10,B4:B29,0),4)</f>
        <v>14</v>
      </c>
      <c r="G13" s="42">
        <f>INDEX('2kob.'!B3:G28,MATCH(10,B4:B29,0),5)</f>
        <v>965</v>
      </c>
      <c r="H13" s="6">
        <f>INDEX('2kob.'!B3:G28,MATCH(10,B4:B29,0),6)</f>
        <v>154</v>
      </c>
    </row>
    <row r="14" spans="2:8" x14ac:dyDescent="0.2">
      <c r="B14" s="6">
        <f>RANK('2kob.'!C13,'2kob.'!$C$3:'2kob.'!$C$28,1)+COUNTIF('2kob.'!$C$3:'2kob.'!C13,'2kob.'!C13)-1</f>
        <v>9</v>
      </c>
      <c r="C14" s="5" t="str">
        <f>INDEX('2kob.'!B3:G28,MATCH(11,B4:B29,0),1)</f>
        <v>krośnieński</v>
      </c>
      <c r="D14" s="6">
        <f>INDEX('2kob.'!B3:G28,MATCH(11,B4:B29,0),2)</f>
        <v>1304</v>
      </c>
      <c r="E14" s="42">
        <f>INDEX('2kob.'!B3:G28,MATCH(11,B4:B29,0),3)</f>
        <v>1291</v>
      </c>
      <c r="F14" s="6">
        <f>INDEX('2kob.'!B3:G28,MATCH(11,B4:B29,0),4)</f>
        <v>13</v>
      </c>
      <c r="G14" s="42">
        <f>INDEX('2kob.'!B3:G28,MATCH(11,B4:B29,0),5)</f>
        <v>1161</v>
      </c>
      <c r="H14" s="6">
        <f>INDEX('2kob.'!B3:G28,MATCH(11,B4:B29,0),6)</f>
        <v>143</v>
      </c>
    </row>
    <row r="15" spans="2:8" x14ac:dyDescent="0.2">
      <c r="B15" s="6">
        <f>RANK('2kob.'!C14,'2kob.'!$C$3:'2kob.'!$C$28,1)+COUNTIF('2kob.'!$C$3:'2kob.'!C14,'2kob.'!C14)-1</f>
        <v>17</v>
      </c>
      <c r="C15" s="5" t="str">
        <f>INDEX('2kob.'!B3:G28,MATCH(12,B4:B29,0),1)</f>
        <v>dębicki</v>
      </c>
      <c r="D15" s="6">
        <f>INDEX('2kob.'!B3:G28,MATCH(12,B4:B29,0),2)</f>
        <v>1308</v>
      </c>
      <c r="E15" s="42">
        <f>INDEX('2kob.'!B3:G28,MATCH(12,B4:B29,0),3)</f>
        <v>1272</v>
      </c>
      <c r="F15" s="6">
        <f>INDEX('2kob.'!B3:G28,MATCH(12,B4:B29,0),4)</f>
        <v>36</v>
      </c>
      <c r="G15" s="42">
        <f>INDEX('2kob.'!B3:G28,MATCH(12,B4:B29,0),5)</f>
        <v>1363</v>
      </c>
      <c r="H15" s="6">
        <f>INDEX('2kob.'!B3:G28,MATCH(12,B4:B29,0),6)</f>
        <v>-55</v>
      </c>
    </row>
    <row r="16" spans="2:8" x14ac:dyDescent="0.2">
      <c r="B16" s="6">
        <f>RANK('2kob.'!C15,'2kob.'!$C$3:'2kob.'!$C$28,1)+COUNTIF('2kob.'!$C$3:'2kob.'!C15,'2kob.'!C15)-1</f>
        <v>16</v>
      </c>
      <c r="C16" s="5" t="str">
        <f>INDEX('2kob.'!B3:G28,MATCH(13,B4:B29,0),1)</f>
        <v>ropczycko-sędziszowski</v>
      </c>
      <c r="D16" s="6">
        <f>INDEX('2kob.'!B3:G28,MATCH(13,B4:B29,0),2)</f>
        <v>1346</v>
      </c>
      <c r="E16" s="42">
        <f>INDEX('2kob.'!B3:G28,MATCH(13,B4:B29,0),3)</f>
        <v>1329</v>
      </c>
      <c r="F16" s="6">
        <f>INDEX('2kob.'!B3:G28,MATCH(13,B4:B29,0),4)</f>
        <v>17</v>
      </c>
      <c r="G16" s="42">
        <f>INDEX('2kob.'!B3:G28,MATCH(13,B4:B29,0),5)</f>
        <v>1359</v>
      </c>
      <c r="H16" s="6">
        <f>INDEX('2kob.'!B3:G28,MATCH(13,B4:B29,0),6)</f>
        <v>-13</v>
      </c>
    </row>
    <row r="17" spans="2:8" x14ac:dyDescent="0.2">
      <c r="B17" s="6">
        <f>RANK('2kob.'!C16,'2kob.'!$C$3:'2kob.'!$C$28,1)+COUNTIF('2kob.'!$C$3:'2kob.'!C16,'2kob.'!C16)-1</f>
        <v>14</v>
      </c>
      <c r="C17" s="5" t="str">
        <f>INDEX('2kob.'!B3:G28,MATCH(14,B4:B29,0),1)</f>
        <v>przemyski</v>
      </c>
      <c r="D17" s="6">
        <f>INDEX('2kob.'!B3:G28,MATCH(14,B4:B29,0),2)</f>
        <v>1360</v>
      </c>
      <c r="E17" s="42">
        <f>INDEX('2kob.'!B3:G28,MATCH(14,B4:B29,0),3)</f>
        <v>1346</v>
      </c>
      <c r="F17" s="6">
        <f>INDEX('2kob.'!B3:G28,MATCH(14,B4:B29,0),4)</f>
        <v>14</v>
      </c>
      <c r="G17" s="42">
        <f>INDEX('2kob.'!B3:G28,MATCH(14,B4:B29,0),5)</f>
        <v>1366</v>
      </c>
      <c r="H17" s="6">
        <f>INDEX('2kob.'!B3:G28,MATCH(14,B4:B29,0),6)</f>
        <v>-6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sanocki</v>
      </c>
      <c r="D18" s="6">
        <f>INDEX('2kob.'!B3:G28,MATCH(15,B4:B29,0),2)</f>
        <v>1381</v>
      </c>
      <c r="E18" s="42">
        <f>INDEX('2kob.'!B3:G28,MATCH(15,B4:B29,0),3)</f>
        <v>1389</v>
      </c>
      <c r="F18" s="6">
        <f>INDEX('2kob.'!B3:G28,MATCH(15,B4:B29,0),4)</f>
        <v>-8</v>
      </c>
      <c r="G18" s="42">
        <f>INDEX('2kob.'!B3:G28,MATCH(15,B4:B29,0),5)</f>
        <v>1309</v>
      </c>
      <c r="H18" s="6">
        <f>INDEX('2kob.'!B3:G28,MATCH(15,B4:B29,0),6)</f>
        <v>72</v>
      </c>
    </row>
    <row r="19" spans="2:8" x14ac:dyDescent="0.2">
      <c r="B19" s="6">
        <f>RANK('2kob.'!C18,'2kob.'!$C$3:'2kob.'!$C$28,1)+COUNTIF('2kob.'!$C$3:'2kob.'!C18,'2kob.'!C18)-1</f>
        <v>13</v>
      </c>
      <c r="C19" s="5" t="str">
        <f>INDEX('2kob.'!B3:G28,MATCH(16,B4:B29,0),1)</f>
        <v>niżański</v>
      </c>
      <c r="D19" s="6">
        <f>INDEX('2kob.'!B3:G28,MATCH(16,B4:B29,0),2)</f>
        <v>1392</v>
      </c>
      <c r="E19" s="42">
        <f>INDEX('2kob.'!B3:G28,MATCH(16,B4:B29,0),3)</f>
        <v>1386</v>
      </c>
      <c r="F19" s="6">
        <f>INDEX('2kob.'!B3:G28,MATCH(16,B4:B29,0),4)</f>
        <v>6</v>
      </c>
      <c r="G19" s="42">
        <f>INDEX('2kob.'!B3:G28,MATCH(16,B4:B29,0),5)</f>
        <v>1409</v>
      </c>
      <c r="H19" s="6">
        <f>INDEX('2kob.'!B3:G28,MATCH(16,B4:B29,0),6)</f>
        <v>-17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mielecki</v>
      </c>
      <c r="D20" s="6">
        <f>INDEX('2kob.'!B3:G28,MATCH(17,B4:B29,0),2)</f>
        <v>1463</v>
      </c>
      <c r="E20" s="42">
        <f>INDEX('2kob.'!B3:G28,MATCH(17,B4:B29,0),3)</f>
        <v>1411</v>
      </c>
      <c r="F20" s="6">
        <f>INDEX('2kob.'!B3:G28,MATCH(17,B4:B29,0),4)</f>
        <v>52</v>
      </c>
      <c r="G20" s="42">
        <f>INDEX('2kob.'!B3:G28,MATCH(17,B4:B29,0),5)</f>
        <v>1418</v>
      </c>
      <c r="H20" s="6">
        <f>INDEX('2kob.'!B3:G28,MATCH(17,B4:B29,0),6)</f>
        <v>45</v>
      </c>
    </row>
    <row r="21" spans="2:8" x14ac:dyDescent="0.2">
      <c r="B21" s="6">
        <f>RANK('2kob.'!C20,'2kob.'!$C$3:'2kob.'!$C$28,1)+COUNTIF('2kob.'!$C$3:'2kob.'!C20,'2kob.'!C20)-1</f>
        <v>15</v>
      </c>
      <c r="C21" s="5" t="str">
        <f>INDEX('2kob.'!B3:G28,MATCH(18,B4:B29,0),1)</f>
        <v>strzyżowski</v>
      </c>
      <c r="D21" s="6">
        <f>INDEX('2kob.'!B3:G28,MATCH(18,B4:B29,0),2)</f>
        <v>1465</v>
      </c>
      <c r="E21" s="42">
        <f>INDEX('2kob.'!B3:G28,MATCH(18,B4:B29,0),3)</f>
        <v>1452</v>
      </c>
      <c r="F21" s="6">
        <f>INDEX('2kob.'!B3:G28,MATCH(18,B4:B29,0),4)</f>
        <v>13</v>
      </c>
      <c r="G21" s="42">
        <f>INDEX('2kob.'!B3:G28,MATCH(18,B4:B29,0),5)</f>
        <v>1538</v>
      </c>
      <c r="H21" s="6">
        <f>INDEX('2kob.'!B3:G28,MATCH(18,B4:B29,0),6)</f>
        <v>-73</v>
      </c>
    </row>
    <row r="22" spans="2:8" x14ac:dyDescent="0.2">
      <c r="B22" s="6">
        <f>RANK('2kob.'!C21,'2kob.'!$C$3:'2kob.'!$C$28,1)+COUNTIF('2kob.'!$C$3:'2kob.'!C21,'2kob.'!C21)-1</f>
        <v>10</v>
      </c>
      <c r="C22" s="5" t="str">
        <f>INDEX('2kob.'!B3:G28,MATCH(19,B4:B29,0),1)</f>
        <v>leżajski</v>
      </c>
      <c r="D22" s="6">
        <f>INDEX('2kob.'!B3:G28,MATCH(19,B4:B29,0),2)</f>
        <v>1481</v>
      </c>
      <c r="E22" s="42">
        <f>INDEX('2kob.'!B3:G28,MATCH(19,B4:B29,0),3)</f>
        <v>1432</v>
      </c>
      <c r="F22" s="6">
        <f>INDEX('2kob.'!B3:G28,MATCH(19,B4:B29,0),4)</f>
        <v>49</v>
      </c>
      <c r="G22" s="42">
        <f>INDEX('2kob.'!B3:G28,MATCH(19,B4:B29,0),5)</f>
        <v>1462</v>
      </c>
      <c r="H22" s="6">
        <f>INDEX('2kob.'!B3:G28,MATCH(19,B4:B29,0),6)</f>
        <v>19</v>
      </c>
    </row>
    <row r="23" spans="2:8" x14ac:dyDescent="0.2">
      <c r="B23" s="6">
        <f>RANK('2kob.'!C22,'2kob.'!$C$3:'2kob.'!$C$28,1)+COUNTIF('2kob.'!$C$3:'2kob.'!C22,'2kob.'!C22)-1</f>
        <v>18</v>
      </c>
      <c r="C23" s="5" t="str">
        <f>INDEX('2kob.'!B3:G28,MATCH(20,B4:B29,0),1)</f>
        <v>przeworski</v>
      </c>
      <c r="D23" s="6">
        <f>INDEX('2kob.'!B3:G28,MATCH(20,B4:B29,0),2)</f>
        <v>1698</v>
      </c>
      <c r="E23" s="42">
        <f>INDEX('2kob.'!B3:G28,MATCH(20,B4:B29,0),3)</f>
        <v>1690</v>
      </c>
      <c r="F23" s="6">
        <f>INDEX('2kob.'!B3:G28,MATCH(20,B4:B29,0),4)</f>
        <v>8</v>
      </c>
      <c r="G23" s="42">
        <f>INDEX('2kob.'!B3:G28,MATCH(20,B4:B29,0),5)</f>
        <v>1707</v>
      </c>
      <c r="H23" s="6">
        <f>INDEX('2kob.'!B3:G28,MATCH(20,B4:B29,0),6)</f>
        <v>-9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1706</v>
      </c>
      <c r="E24" s="42">
        <f>INDEX('2kob.'!B3:G28,MATCH(21,B4:B29,0),3)</f>
        <v>1733</v>
      </c>
      <c r="F24" s="6">
        <f>INDEX('2kob.'!B3:G28,MATCH(21,B4:B29,0),4)</f>
        <v>-27</v>
      </c>
      <c r="G24" s="42">
        <f>INDEX('2kob.'!B3:G28,MATCH(21,B4:B29,0),5)</f>
        <v>1736</v>
      </c>
      <c r="H24" s="6">
        <f>INDEX('2kob.'!B3:G28,MATCH(21,B4:B29,0),6)</f>
        <v>-30</v>
      </c>
    </row>
    <row r="25" spans="2:8" x14ac:dyDescent="0.2">
      <c r="B25" s="6">
        <f>RANK('2kob.'!C24,'2kob.'!$C$3:'2kob.'!$C$28,1)+COUNTIF('2kob.'!$C$3:'2kob.'!C24,'2kob.'!C24)-1</f>
        <v>2</v>
      </c>
      <c r="C25" s="5" t="str">
        <f>INDEX('2kob.'!B3:G28,MATCH(22,B4:B29,0),1)</f>
        <v>rzeszowski</v>
      </c>
      <c r="D25" s="6">
        <f>INDEX('2kob.'!B3:G28,MATCH(22,B4:B29,0),2)</f>
        <v>2095</v>
      </c>
      <c r="E25" s="42">
        <f>INDEX('2kob.'!B3:G28,MATCH(22,B4:B29,0),3)</f>
        <v>2079</v>
      </c>
      <c r="F25" s="6">
        <f>INDEX('2kob.'!B3:G28,MATCH(22,B4:B29,0),4)</f>
        <v>16</v>
      </c>
      <c r="G25" s="42">
        <f>INDEX('2kob.'!B3:G28,MATCH(22,B4:B29,0),5)</f>
        <v>2117</v>
      </c>
      <c r="H25" s="6">
        <f>INDEX('2kob.'!B3:G28,MATCH(22,B4:B29,0),6)</f>
        <v>-22</v>
      </c>
    </row>
    <row r="26" spans="2:8" x14ac:dyDescent="0.2">
      <c r="B26" s="6">
        <f>RANK('2kob.'!C25,'2kob.'!$C$3:'2kob.'!$C$28,1)+COUNTIF('2kob.'!$C$3:'2kob.'!C25,'2kob.'!C25)-1</f>
        <v>8</v>
      </c>
      <c r="C26" s="5" t="str">
        <f>INDEX('2kob.'!B3:G28,MATCH(23,B4:B29,0),1)</f>
        <v>jarosławski</v>
      </c>
      <c r="D26" s="6">
        <f>INDEX('2kob.'!B3:G28,MATCH(23,B4:B29,0),2)</f>
        <v>2214</v>
      </c>
      <c r="E26" s="42">
        <f>INDEX('2kob.'!B3:G28,MATCH(23,B4:B29,0),3)</f>
        <v>2199</v>
      </c>
      <c r="F26" s="6">
        <f>INDEX('2kob.'!B3:G28,MATCH(23,B4:B29,0),4)</f>
        <v>15</v>
      </c>
      <c r="G26" s="42">
        <f>INDEX('2kob.'!B3:G28,MATCH(23,B4:B29,0),5)</f>
        <v>2174</v>
      </c>
      <c r="H26" s="6">
        <f>INDEX('2kob.'!B3:G28,MATCH(23,B4:B29,0),6)</f>
        <v>40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2508</v>
      </c>
      <c r="E27" s="42">
        <f>INDEX('2kob.'!B3:G28,MATCH(24,B4:B29,0),3)</f>
        <v>2452</v>
      </c>
      <c r="F27" s="6">
        <f>INDEX('2kob.'!B3:G28,MATCH(24,B4:B29,0),4)</f>
        <v>56</v>
      </c>
      <c r="G27" s="42">
        <f>INDEX('2kob.'!B3:G28,MATCH(24,B4:B29,0),5)</f>
        <v>2479</v>
      </c>
      <c r="H27" s="6">
        <f>INDEX('2kob.'!B3:G28,MATCH(24,B4:B29,0),6)</f>
        <v>29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jasielski</v>
      </c>
      <c r="D28" s="6">
        <f>INDEX('2kob.'!B3:G28,MATCH(25,B4:B29,0),2)</f>
        <v>2637</v>
      </c>
      <c r="E28" s="42">
        <f>INDEX('2kob.'!B3:G28,MATCH(25,B4:B29,0),3)</f>
        <v>2609</v>
      </c>
      <c r="F28" s="6">
        <f>INDEX('2kob.'!B3:G28,MATCH(25,B4:B29,0),4)</f>
        <v>28</v>
      </c>
      <c r="G28" s="42">
        <f>INDEX('2kob.'!B3:G28,MATCH(25,B4:B29,0),5)</f>
        <v>2729</v>
      </c>
      <c r="H28" s="6">
        <f>INDEX('2kob.'!B3:G28,MATCH(25,B4:B29,0),6)</f>
        <v>-92</v>
      </c>
    </row>
    <row r="29" spans="2:8" ht="15" x14ac:dyDescent="0.25">
      <c r="B29" s="40">
        <f>RANK('2kob.'!C28,'2kob.'!$C$3:'2kob.'!$C$28,1)+COUNTIF('2kob.'!$C$3:'2kob.'!C28,'2kob.'!C28)-1</f>
        <v>26</v>
      </c>
      <c r="C29" s="39" t="str">
        <f>INDEX('2kob.'!B3:G28,MATCH(26,B4:B29,0),1)</f>
        <v>województwo</v>
      </c>
      <c r="D29" s="40">
        <f>INDEX('2kob.'!B3:G28,MATCH(26,B4:B29,0),2)</f>
        <v>32695</v>
      </c>
      <c r="E29" s="44">
        <f>INDEX('2kob.'!B3:G28,MATCH(26,B4:B29,0),3)</f>
        <v>32409</v>
      </c>
      <c r="F29" s="40">
        <f>INDEX('2kob.'!B3:G28,MATCH(26,B4:B29,0),4)</f>
        <v>286</v>
      </c>
      <c r="G29" s="44">
        <f>INDEX('2kob.'!B3:G28,MATCH(26,B4:B29,0),5)</f>
        <v>32664</v>
      </c>
      <c r="H29" s="40">
        <f>INDEX('2kob.'!B3:G28,MATCH(26,B4:B29,0),6)</f>
        <v>31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6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1" customHeight="1" x14ac:dyDescent="0.2">
      <c r="B1" s="2" t="s">
        <v>31</v>
      </c>
      <c r="I1" s="2" t="s">
        <v>40</v>
      </c>
    </row>
    <row r="2" spans="1:12" ht="86.25" customHeight="1" x14ac:dyDescent="0.2">
      <c r="B2" s="36" t="s">
        <v>27</v>
      </c>
      <c r="C2" s="37" t="s">
        <v>84</v>
      </c>
      <c r="D2" s="38" t="s">
        <v>83</v>
      </c>
      <c r="E2" s="37" t="s">
        <v>28</v>
      </c>
      <c r="F2" s="38" t="s">
        <v>85</v>
      </c>
      <c r="G2" s="37" t="s">
        <v>26</v>
      </c>
      <c r="I2" s="36" t="s">
        <v>27</v>
      </c>
      <c r="J2" s="37" t="str">
        <f>T('1bzr.'!C2)</f>
        <v>liczba bezrobotnych ogółem stan na 30-06-'25 r.</v>
      </c>
      <c r="K2" s="37" t="str">
        <f>T(C2)</f>
        <v>liczba bezrobotnych zam. na wsi stan na 30-06-'25 r.</v>
      </c>
      <c r="L2" s="37" t="s">
        <v>47</v>
      </c>
    </row>
    <row r="3" spans="1:12" x14ac:dyDescent="0.2">
      <c r="A3" s="3">
        <v>1</v>
      </c>
      <c r="B3" s="5" t="s">
        <v>0</v>
      </c>
      <c r="C3" s="13">
        <v>615</v>
      </c>
      <c r="D3" s="42">
        <v>623</v>
      </c>
      <c r="E3" s="6">
        <f t="shared" ref="E3:E23" si="0">SUM(C3)-D3</f>
        <v>-8</v>
      </c>
      <c r="F3" s="42">
        <v>661</v>
      </c>
      <c r="G3" s="6">
        <f t="shared" ref="G3:G23" si="1">SUM(C3)-F3</f>
        <v>-46</v>
      </c>
      <c r="H3" s="7"/>
      <c r="I3" s="5" t="s">
        <v>0</v>
      </c>
      <c r="J3" s="6">
        <f>SUM('1bzr.'!C3)</f>
        <v>982</v>
      </c>
      <c r="K3" s="6">
        <f>SUM(C3)</f>
        <v>615</v>
      </c>
      <c r="L3" s="8">
        <f t="shared" ref="L3:L23" si="2">SUM(K3)/J3*100</f>
        <v>62.627291242362524</v>
      </c>
    </row>
    <row r="4" spans="1:12" x14ac:dyDescent="0.2">
      <c r="A4" s="3">
        <v>2</v>
      </c>
      <c r="B4" s="5" t="s">
        <v>1</v>
      </c>
      <c r="C4" s="14">
        <v>3174</v>
      </c>
      <c r="D4" s="42">
        <v>3209</v>
      </c>
      <c r="E4" s="6">
        <f t="shared" si="0"/>
        <v>-35</v>
      </c>
      <c r="F4" s="42">
        <v>3151</v>
      </c>
      <c r="G4" s="6">
        <f t="shared" si="1"/>
        <v>23</v>
      </c>
      <c r="H4" s="7"/>
      <c r="I4" s="5" t="s">
        <v>1</v>
      </c>
      <c r="J4" s="6">
        <f>SUM('1bzr.'!C4)</f>
        <v>3452</v>
      </c>
      <c r="K4" s="6">
        <f t="shared" ref="K4:K22" si="3">SUM(C4)</f>
        <v>3174</v>
      </c>
      <c r="L4" s="8">
        <f t="shared" si="2"/>
        <v>91.946697566628046</v>
      </c>
    </row>
    <row r="5" spans="1:12" x14ac:dyDescent="0.2">
      <c r="A5" s="3">
        <v>3</v>
      </c>
      <c r="B5" s="5" t="s">
        <v>2</v>
      </c>
      <c r="C5" s="15">
        <v>1284</v>
      </c>
      <c r="D5" s="42">
        <v>1275</v>
      </c>
      <c r="E5" s="6">
        <f t="shared" si="0"/>
        <v>9</v>
      </c>
      <c r="F5" s="42">
        <v>1333</v>
      </c>
      <c r="G5" s="6">
        <f t="shared" si="1"/>
        <v>-49</v>
      </c>
      <c r="H5" s="7"/>
      <c r="I5" s="5" t="s">
        <v>2</v>
      </c>
      <c r="J5" s="6">
        <f>SUM('1bzr.'!C5)</f>
        <v>2214</v>
      </c>
      <c r="K5" s="6">
        <f t="shared" si="3"/>
        <v>1284</v>
      </c>
      <c r="L5" s="8">
        <f t="shared" si="2"/>
        <v>57.994579945799465</v>
      </c>
    </row>
    <row r="6" spans="1:12" x14ac:dyDescent="0.2">
      <c r="A6" s="3">
        <v>4</v>
      </c>
      <c r="B6" s="5" t="s">
        <v>3</v>
      </c>
      <c r="C6" s="15">
        <v>2724</v>
      </c>
      <c r="D6" s="42">
        <v>2703</v>
      </c>
      <c r="E6" s="6">
        <f t="shared" si="0"/>
        <v>21</v>
      </c>
      <c r="F6" s="42">
        <v>2609</v>
      </c>
      <c r="G6" s="6">
        <f t="shared" si="1"/>
        <v>115</v>
      </c>
      <c r="H6" s="7"/>
      <c r="I6" s="5" t="s">
        <v>3</v>
      </c>
      <c r="J6" s="6">
        <f>SUM('1bzr.'!C6)</f>
        <v>4380</v>
      </c>
      <c r="K6" s="6">
        <f t="shared" si="3"/>
        <v>2724</v>
      </c>
      <c r="L6" s="8">
        <f t="shared" si="2"/>
        <v>62.19178082191781</v>
      </c>
    </row>
    <row r="7" spans="1:12" x14ac:dyDescent="0.2">
      <c r="A7" s="3">
        <v>5</v>
      </c>
      <c r="B7" s="5" t="s">
        <v>4</v>
      </c>
      <c r="C7" s="15">
        <v>3266</v>
      </c>
      <c r="D7" s="42">
        <v>3260</v>
      </c>
      <c r="E7" s="6">
        <f t="shared" si="0"/>
        <v>6</v>
      </c>
      <c r="F7" s="42">
        <v>3319</v>
      </c>
      <c r="G7" s="6">
        <f t="shared" si="1"/>
        <v>-53</v>
      </c>
      <c r="H7" s="7"/>
      <c r="I7" s="5" t="s">
        <v>4</v>
      </c>
      <c r="J7" s="6">
        <f>SUM('1bzr.'!C7)</f>
        <v>4650</v>
      </c>
      <c r="K7" s="6">
        <f t="shared" si="3"/>
        <v>3266</v>
      </c>
      <c r="L7" s="8">
        <f t="shared" si="2"/>
        <v>70.236559139784944</v>
      </c>
    </row>
    <row r="8" spans="1:12" x14ac:dyDescent="0.2">
      <c r="A8" s="3">
        <v>6</v>
      </c>
      <c r="B8" s="5" t="s">
        <v>5</v>
      </c>
      <c r="C8" s="15">
        <v>1298</v>
      </c>
      <c r="D8" s="42">
        <v>1288</v>
      </c>
      <c r="E8" s="6">
        <f t="shared" si="0"/>
        <v>10</v>
      </c>
      <c r="F8" s="42">
        <v>1316</v>
      </c>
      <c r="G8" s="6">
        <f t="shared" si="1"/>
        <v>-18</v>
      </c>
      <c r="H8" s="7"/>
      <c r="I8" s="5" t="s">
        <v>5</v>
      </c>
      <c r="J8" s="6">
        <f>SUM('1bzr.'!C8)</f>
        <v>1480</v>
      </c>
      <c r="K8" s="6">
        <f t="shared" si="3"/>
        <v>1298</v>
      </c>
      <c r="L8" s="8">
        <f t="shared" si="2"/>
        <v>87.702702702702709</v>
      </c>
    </row>
    <row r="9" spans="1:12" x14ac:dyDescent="0.2">
      <c r="A9" s="3">
        <v>7</v>
      </c>
      <c r="B9" s="9" t="s">
        <v>6</v>
      </c>
      <c r="C9" s="16">
        <v>2138</v>
      </c>
      <c r="D9" s="42">
        <v>2125</v>
      </c>
      <c r="E9" s="6">
        <f t="shared" si="0"/>
        <v>13</v>
      </c>
      <c r="F9" s="42">
        <v>1920</v>
      </c>
      <c r="G9" s="6">
        <f t="shared" si="1"/>
        <v>218</v>
      </c>
      <c r="H9" s="7"/>
      <c r="I9" s="9" t="s">
        <v>6</v>
      </c>
      <c r="J9" s="6">
        <f>SUM('1bzr.'!C9)</f>
        <v>2372</v>
      </c>
      <c r="K9" s="6">
        <f t="shared" si="3"/>
        <v>2138</v>
      </c>
      <c r="L9" s="8">
        <f t="shared" si="2"/>
        <v>90.13490725126475</v>
      </c>
    </row>
    <row r="10" spans="1:12" x14ac:dyDescent="0.2">
      <c r="A10" s="3">
        <v>8</v>
      </c>
      <c r="B10" s="5" t="s">
        <v>7</v>
      </c>
      <c r="C10" s="17">
        <v>1238</v>
      </c>
      <c r="D10" s="42">
        <v>1250</v>
      </c>
      <c r="E10" s="6">
        <f t="shared" si="0"/>
        <v>-12</v>
      </c>
      <c r="F10" s="42">
        <v>1274</v>
      </c>
      <c r="G10" s="6">
        <f>SUM(C10)-F10</f>
        <v>-36</v>
      </c>
      <c r="H10" s="7"/>
      <c r="I10" s="5" t="s">
        <v>7</v>
      </c>
      <c r="J10" s="6">
        <f>SUM('1bzr.'!C10)</f>
        <v>1522</v>
      </c>
      <c r="K10" s="6">
        <f>SUM(C10)</f>
        <v>1238</v>
      </c>
      <c r="L10" s="8">
        <f t="shared" si="2"/>
        <v>81.340341655716159</v>
      </c>
    </row>
    <row r="11" spans="1:12" x14ac:dyDescent="0.2">
      <c r="A11" s="3">
        <v>9</v>
      </c>
      <c r="B11" s="5" t="s">
        <v>8</v>
      </c>
      <c r="C11" s="17">
        <v>2155</v>
      </c>
      <c r="D11" s="42">
        <v>2135</v>
      </c>
      <c r="E11" s="6">
        <f t="shared" si="0"/>
        <v>20</v>
      </c>
      <c r="F11" s="42">
        <v>2113</v>
      </c>
      <c r="G11" s="6">
        <f t="shared" si="1"/>
        <v>42</v>
      </c>
      <c r="H11" s="7"/>
      <c r="I11" s="5" t="s">
        <v>8</v>
      </c>
      <c r="J11" s="6">
        <f>SUM('1bzr.'!C11)</f>
        <v>2840</v>
      </c>
      <c r="K11" s="6">
        <f t="shared" si="3"/>
        <v>2155</v>
      </c>
      <c r="L11" s="8">
        <f t="shared" si="2"/>
        <v>75.880281690140848</v>
      </c>
    </row>
    <row r="12" spans="1:12" x14ac:dyDescent="0.2">
      <c r="A12" s="3">
        <v>10</v>
      </c>
      <c r="B12" s="5" t="s">
        <v>9</v>
      </c>
      <c r="C12" s="17">
        <v>998</v>
      </c>
      <c r="D12" s="42">
        <v>993</v>
      </c>
      <c r="E12" s="6">
        <f t="shared" si="0"/>
        <v>5</v>
      </c>
      <c r="F12" s="42">
        <v>1027</v>
      </c>
      <c r="G12" s="6">
        <f t="shared" si="1"/>
        <v>-29</v>
      </c>
      <c r="H12" s="7"/>
      <c r="I12" s="5" t="s">
        <v>9</v>
      </c>
      <c r="J12" s="6">
        <f>SUM('1bzr.'!C12)</f>
        <v>1528</v>
      </c>
      <c r="K12" s="6">
        <f t="shared" si="3"/>
        <v>998</v>
      </c>
      <c r="L12" s="8">
        <f t="shared" si="2"/>
        <v>65.314136125654457</v>
      </c>
    </row>
    <row r="13" spans="1:12" x14ac:dyDescent="0.2">
      <c r="A13" s="3">
        <v>11</v>
      </c>
      <c r="B13" s="5" t="s">
        <v>10</v>
      </c>
      <c r="C13" s="17">
        <v>1804</v>
      </c>
      <c r="D13" s="42">
        <v>1857</v>
      </c>
      <c r="E13" s="6">
        <f t="shared" si="0"/>
        <v>-53</v>
      </c>
      <c r="F13" s="42">
        <v>1857</v>
      </c>
      <c r="G13" s="6">
        <f t="shared" si="1"/>
        <v>-53</v>
      </c>
      <c r="H13" s="7"/>
      <c r="I13" s="5" t="s">
        <v>10</v>
      </c>
      <c r="J13" s="6">
        <f>SUM('1bzr.'!C13)</f>
        <v>2323</v>
      </c>
      <c r="K13" s="6">
        <f t="shared" si="3"/>
        <v>1804</v>
      </c>
      <c r="L13" s="8">
        <f t="shared" si="2"/>
        <v>77.658200602668956</v>
      </c>
    </row>
    <row r="14" spans="1:12" x14ac:dyDescent="0.2">
      <c r="A14" s="3">
        <v>12</v>
      </c>
      <c r="B14" s="5" t="s">
        <v>11</v>
      </c>
      <c r="C14" s="17">
        <v>1531</v>
      </c>
      <c r="D14" s="42">
        <v>1478</v>
      </c>
      <c r="E14" s="6">
        <f t="shared" si="0"/>
        <v>53</v>
      </c>
      <c r="F14" s="42">
        <v>1438</v>
      </c>
      <c r="G14" s="6">
        <f t="shared" si="1"/>
        <v>93</v>
      </c>
      <c r="H14" s="7"/>
      <c r="I14" s="5" t="s">
        <v>11</v>
      </c>
      <c r="J14" s="6">
        <f>SUM('1bzr.'!C14)</f>
        <v>3112</v>
      </c>
      <c r="K14" s="6">
        <f t="shared" si="3"/>
        <v>1531</v>
      </c>
      <c r="L14" s="8">
        <f t="shared" si="2"/>
        <v>49.196658097686374</v>
      </c>
    </row>
    <row r="15" spans="1:12" x14ac:dyDescent="0.2">
      <c r="A15" s="3">
        <v>13</v>
      </c>
      <c r="B15" s="5" t="s">
        <v>12</v>
      </c>
      <c r="C15" s="17">
        <v>1860</v>
      </c>
      <c r="D15" s="42">
        <v>1855</v>
      </c>
      <c r="E15" s="6">
        <f t="shared" si="0"/>
        <v>5</v>
      </c>
      <c r="F15" s="42">
        <v>1834</v>
      </c>
      <c r="G15" s="6">
        <f t="shared" si="1"/>
        <v>26</v>
      </c>
      <c r="H15" s="7"/>
      <c r="I15" s="5" t="s">
        <v>12</v>
      </c>
      <c r="J15" s="6">
        <f>SUM('1bzr.'!C15)</f>
        <v>2804</v>
      </c>
      <c r="K15" s="6">
        <f t="shared" si="3"/>
        <v>1860</v>
      </c>
      <c r="L15" s="8">
        <f t="shared" si="2"/>
        <v>66.333808844507843</v>
      </c>
    </row>
    <row r="16" spans="1:12" x14ac:dyDescent="0.2">
      <c r="A16" s="3">
        <v>14</v>
      </c>
      <c r="B16" s="5" t="s">
        <v>13</v>
      </c>
      <c r="C16" s="17">
        <v>2757</v>
      </c>
      <c r="D16" s="42">
        <v>2732</v>
      </c>
      <c r="E16" s="6">
        <f t="shared" si="0"/>
        <v>25</v>
      </c>
      <c r="F16" s="42">
        <v>2645</v>
      </c>
      <c r="G16" s="6">
        <f t="shared" si="1"/>
        <v>112</v>
      </c>
      <c r="H16" s="7"/>
      <c r="I16" s="5" t="s">
        <v>13</v>
      </c>
      <c r="J16" s="6">
        <f>SUM('1bzr.'!C16)</f>
        <v>2834</v>
      </c>
      <c r="K16" s="6">
        <f t="shared" si="3"/>
        <v>2757</v>
      </c>
      <c r="L16" s="8">
        <f t="shared" si="2"/>
        <v>97.282992237120681</v>
      </c>
    </row>
    <row r="17" spans="1:13" x14ac:dyDescent="0.2">
      <c r="A17" s="3">
        <v>15</v>
      </c>
      <c r="B17" s="5" t="s">
        <v>14</v>
      </c>
      <c r="C17" s="17">
        <v>2450</v>
      </c>
      <c r="D17" s="42">
        <v>2439</v>
      </c>
      <c r="E17" s="6">
        <f t="shared" si="0"/>
        <v>11</v>
      </c>
      <c r="F17" s="42">
        <v>2353</v>
      </c>
      <c r="G17" s="6">
        <f t="shared" si="1"/>
        <v>97</v>
      </c>
      <c r="H17" s="7"/>
      <c r="I17" s="5" t="s">
        <v>14</v>
      </c>
      <c r="J17" s="6">
        <f>SUM('1bzr.'!C17)</f>
        <v>3277</v>
      </c>
      <c r="K17" s="6">
        <f t="shared" si="3"/>
        <v>2450</v>
      </c>
      <c r="L17" s="8">
        <f t="shared" si="2"/>
        <v>74.76350320415014</v>
      </c>
      <c r="M17" s="10"/>
    </row>
    <row r="18" spans="1:13" x14ac:dyDescent="0.2">
      <c r="A18" s="3">
        <v>16</v>
      </c>
      <c r="B18" s="5" t="s">
        <v>15</v>
      </c>
      <c r="C18" s="17">
        <v>1701</v>
      </c>
      <c r="D18" s="42">
        <v>1686</v>
      </c>
      <c r="E18" s="6">
        <f t="shared" si="0"/>
        <v>15</v>
      </c>
      <c r="F18" s="42">
        <v>1674</v>
      </c>
      <c r="G18" s="6">
        <f t="shared" si="1"/>
        <v>27</v>
      </c>
      <c r="H18" s="7"/>
      <c r="I18" s="5" t="s">
        <v>15</v>
      </c>
      <c r="J18" s="6">
        <f>SUM('1bzr.'!C18)</f>
        <v>2631</v>
      </c>
      <c r="K18" s="6">
        <f t="shared" si="3"/>
        <v>1701</v>
      </c>
      <c r="L18" s="8">
        <f t="shared" si="2"/>
        <v>64.652223489167611</v>
      </c>
    </row>
    <row r="19" spans="1:13" x14ac:dyDescent="0.2">
      <c r="A19" s="3">
        <v>17</v>
      </c>
      <c r="B19" s="5" t="s">
        <v>16</v>
      </c>
      <c r="C19" s="17">
        <v>3533</v>
      </c>
      <c r="D19" s="42">
        <v>3500</v>
      </c>
      <c r="E19" s="6">
        <f t="shared" si="0"/>
        <v>33</v>
      </c>
      <c r="F19" s="42">
        <v>3510</v>
      </c>
      <c r="G19" s="6">
        <f t="shared" si="1"/>
        <v>23</v>
      </c>
      <c r="H19" s="7"/>
      <c r="I19" s="5" t="s">
        <v>16</v>
      </c>
      <c r="J19" s="6">
        <f>SUM('1bzr.'!C19)</f>
        <v>4507</v>
      </c>
      <c r="K19" s="6">
        <f t="shared" si="3"/>
        <v>3533</v>
      </c>
      <c r="L19" s="8">
        <f t="shared" si="2"/>
        <v>78.38917239849124</v>
      </c>
    </row>
    <row r="20" spans="1:13" x14ac:dyDescent="0.2">
      <c r="A20" s="3">
        <v>18</v>
      </c>
      <c r="B20" s="5" t="s">
        <v>17</v>
      </c>
      <c r="C20" s="17">
        <v>1661</v>
      </c>
      <c r="D20" s="42">
        <v>1691</v>
      </c>
      <c r="E20" s="6">
        <f t="shared" si="0"/>
        <v>-30</v>
      </c>
      <c r="F20" s="42">
        <v>1571</v>
      </c>
      <c r="G20" s="6">
        <f t="shared" si="1"/>
        <v>90</v>
      </c>
      <c r="H20" s="7"/>
      <c r="I20" s="5" t="s">
        <v>17</v>
      </c>
      <c r="J20" s="6">
        <f>SUM('1bzr.'!C20)</f>
        <v>2839</v>
      </c>
      <c r="K20" s="6">
        <f t="shared" si="3"/>
        <v>1661</v>
      </c>
      <c r="L20" s="8">
        <f t="shared" si="2"/>
        <v>58.50651637900669</v>
      </c>
    </row>
    <row r="21" spans="1:13" x14ac:dyDescent="0.2">
      <c r="A21" s="3">
        <v>19</v>
      </c>
      <c r="B21" s="5" t="s">
        <v>18</v>
      </c>
      <c r="C21" s="17">
        <v>863</v>
      </c>
      <c r="D21" s="42">
        <v>852</v>
      </c>
      <c r="E21" s="6">
        <f t="shared" si="0"/>
        <v>11</v>
      </c>
      <c r="F21" s="42">
        <v>723</v>
      </c>
      <c r="G21" s="6">
        <f t="shared" si="1"/>
        <v>140</v>
      </c>
      <c r="H21" s="7"/>
      <c r="I21" s="5" t="s">
        <v>18</v>
      </c>
      <c r="J21" s="6">
        <f>SUM('1bzr.'!C21)</f>
        <v>2211</v>
      </c>
      <c r="K21" s="6">
        <f t="shared" si="3"/>
        <v>863</v>
      </c>
      <c r="L21" s="8">
        <f t="shared" si="2"/>
        <v>39.032112166440527</v>
      </c>
    </row>
    <row r="22" spans="1:13" x14ac:dyDescent="0.2">
      <c r="A22" s="3">
        <v>20</v>
      </c>
      <c r="B22" s="5" t="s">
        <v>19</v>
      </c>
      <c r="C22" s="17">
        <v>2632</v>
      </c>
      <c r="D22" s="42">
        <v>2611</v>
      </c>
      <c r="E22" s="6">
        <f t="shared" si="0"/>
        <v>21</v>
      </c>
      <c r="F22" s="42">
        <v>2702</v>
      </c>
      <c r="G22" s="6">
        <f t="shared" si="1"/>
        <v>-70</v>
      </c>
      <c r="H22" s="7"/>
      <c r="I22" s="5" t="s">
        <v>19</v>
      </c>
      <c r="J22" s="6">
        <f>SUM('1bzr.'!C22)</f>
        <v>2935</v>
      </c>
      <c r="K22" s="6">
        <f t="shared" si="3"/>
        <v>2632</v>
      </c>
      <c r="L22" s="8">
        <f t="shared" si="2"/>
        <v>89.676320272572411</v>
      </c>
    </row>
    <row r="23" spans="1:13" x14ac:dyDescent="0.2">
      <c r="A23" s="3">
        <v>21</v>
      </c>
      <c r="B23" s="5" t="s">
        <v>20</v>
      </c>
      <c r="C23" s="17">
        <v>1009</v>
      </c>
      <c r="D23" s="42">
        <v>1000</v>
      </c>
      <c r="E23" s="6">
        <f t="shared" si="0"/>
        <v>9</v>
      </c>
      <c r="F23" s="42">
        <v>982</v>
      </c>
      <c r="G23" s="6">
        <f t="shared" si="1"/>
        <v>27</v>
      </c>
      <c r="H23" s="7"/>
      <c r="I23" s="5" t="s">
        <v>20</v>
      </c>
      <c r="J23" s="6">
        <f>SUM('1bzr.'!C23)</f>
        <v>1234</v>
      </c>
      <c r="K23" s="6">
        <f>SUM(C23)</f>
        <v>1009</v>
      </c>
      <c r="L23" s="8">
        <f t="shared" si="2"/>
        <v>81.766612641815243</v>
      </c>
    </row>
    <row r="24" spans="1:13" ht="15" x14ac:dyDescent="0.25">
      <c r="A24" s="3">
        <v>22</v>
      </c>
      <c r="B24" s="39" t="s">
        <v>25</v>
      </c>
      <c r="C24" s="40">
        <f>SUM(C3:C23)</f>
        <v>40691</v>
      </c>
      <c r="D24" s="44">
        <f>SUM(D3:D23)</f>
        <v>40562</v>
      </c>
      <c r="E24" s="40">
        <f>SUM(E3:E23)</f>
        <v>129</v>
      </c>
      <c r="F24" s="44">
        <f>SUM(F3:F23)</f>
        <v>40012</v>
      </c>
      <c r="G24" s="40">
        <f>SUM(G3:G23)</f>
        <v>679</v>
      </c>
      <c r="H24" s="7"/>
      <c r="I24" s="5" t="s">
        <v>21</v>
      </c>
      <c r="J24" s="6">
        <f>SUM('1bzr.'!C24)</f>
        <v>887</v>
      </c>
      <c r="K24" s="11" t="s">
        <v>29</v>
      </c>
      <c r="L24" s="12" t="s">
        <v>29</v>
      </c>
    </row>
    <row r="25" spans="1:13" x14ac:dyDescent="0.2">
      <c r="C25" s="35"/>
      <c r="I25" s="5" t="s">
        <v>22</v>
      </c>
      <c r="J25" s="6">
        <f>SUM('1bzr.'!C25)</f>
        <v>2355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SUM('1bzr.'!C26)</f>
        <v>5083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SUM('1bzr.'!C27)</f>
        <v>1035</v>
      </c>
      <c r="K27" s="11" t="s">
        <v>29</v>
      </c>
      <c r="L27" s="12" t="s">
        <v>29</v>
      </c>
    </row>
    <row r="28" spans="1:13" ht="15" x14ac:dyDescent="0.25">
      <c r="H28" s="7"/>
      <c r="I28" s="39" t="s">
        <v>25</v>
      </c>
      <c r="J28" s="40">
        <f>SUM(J3:J27)</f>
        <v>65487</v>
      </c>
      <c r="K28" s="40">
        <f>SUM(K3:K23)</f>
        <v>40691</v>
      </c>
      <c r="L28" s="46">
        <f>SUM(K28)/J28*100</f>
        <v>62.135996457312139</v>
      </c>
    </row>
    <row r="30" spans="1:13" x14ac:dyDescent="0.2">
      <c r="K30" s="19">
        <f>SUM(K28-J28)</f>
        <v>-24796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6.42578125" style="3" customWidth="1"/>
    <col min="4" max="4" width="20.5703125" style="3" customWidth="1"/>
    <col min="5" max="5" width="19.5703125" style="3" customWidth="1"/>
    <col min="6" max="6" width="17" style="3" customWidth="1"/>
    <col min="7" max="7" width="18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43" t="s">
        <v>42</v>
      </c>
      <c r="C3" s="36" t="str">
        <f>T('2kob.'!B2)</f>
        <v>powiaty</v>
      </c>
      <c r="D3" s="36" t="str">
        <f>T('3bezr. na wsi'!C2)</f>
        <v>liczba bezrobotnych zam. na wsi stan na 30-06-'25 r.</v>
      </c>
      <c r="E3" s="36" t="str">
        <f>T('3bezr. na wsi'!D2)</f>
        <v>liczba bezrobotnych zam. na wsi stan na 31-05-'25 r.</v>
      </c>
      <c r="F3" s="36" t="str">
        <f>T('3bezr. na wsi'!E2)</f>
        <v>wzrost/spadek do poprzedniego  miesiąca</v>
      </c>
      <c r="G3" s="36" t="str">
        <f>T('3bezr. na wsi'!F2)</f>
        <v>liczba bezrobotnych zam. na wsi stan na 30-06-'24 r.</v>
      </c>
      <c r="H3" s="36" t="str">
        <f>T('3bezr. na wsi'!G2)</f>
        <v>wzrost/spadek do analogicznego okresu ubr.</v>
      </c>
    </row>
    <row r="4" spans="1:8" x14ac:dyDescent="0.2">
      <c r="A4" s="3">
        <v>1</v>
      </c>
      <c r="B4" s="6">
        <f>RANK('3bezr. na wsi'!C3,'3bezr. na wsi'!$C$3:'3bezr. na wsi'!$C$28,1)+COUNTIF('3bezr. na wsi'!$C$3:'3bezr. na wsi'!C3,'3bezr. na wsi'!C3)-1</f>
        <v>1</v>
      </c>
      <c r="C4" s="5" t="str">
        <f>INDEX('3bezr. na wsi'!B3:G28,MATCH(1,B4:B25,0),1)</f>
        <v>bieszczadzki</v>
      </c>
      <c r="D4" s="24">
        <f>INDEX('3bezr. na wsi'!B3:G28,MATCH(1,B4:B25,0),2)</f>
        <v>615</v>
      </c>
      <c r="E4" s="42">
        <f>INDEX('3bezr. na wsi'!B3:G28,MATCH(1,B4:B25,0),3)</f>
        <v>623</v>
      </c>
      <c r="F4" s="6">
        <f>INDEX('3bezr. na wsi'!B3:G28,MATCH(1,B4:B25,0),4)</f>
        <v>-8</v>
      </c>
      <c r="G4" s="42">
        <f>INDEX('3bezr. na wsi'!B3:G28,MATCH(1,B4:B25,0),5)</f>
        <v>661</v>
      </c>
      <c r="H4" s="6">
        <f>INDEX('3bezr. na wsi'!B3:G28,MATCH(1,B4:B25,0),6)</f>
        <v>-46</v>
      </c>
    </row>
    <row r="5" spans="1:8" x14ac:dyDescent="0.2">
      <c r="A5" s="3">
        <v>2</v>
      </c>
      <c r="B5" s="6">
        <f>RANK('3bezr. na wsi'!C4,'3bezr. na wsi'!$C$3:'3bezr. na wsi'!$C$28,1)+COUNTIF('3bezr. na wsi'!$C$3:'3bezr. na wsi'!C4,'3bezr. na wsi'!C4)-1</f>
        <v>19</v>
      </c>
      <c r="C5" s="5" t="str">
        <f>INDEX('3bezr. na wsi'!B3:G28,MATCH(2,B4:B25,0),1)</f>
        <v>stalowowolski</v>
      </c>
      <c r="D5" s="6">
        <f>INDEX('3bezr. na wsi'!B3:G28,MATCH(2,B4:B25,0),2)</f>
        <v>863</v>
      </c>
      <c r="E5" s="42">
        <f>INDEX('3bezr. na wsi'!B3:G28,MATCH(2,B4:B25,0),3)</f>
        <v>852</v>
      </c>
      <c r="F5" s="6">
        <f>INDEX('3bezr. na wsi'!B3:G28,MATCH(2,B4:B25,0),4)</f>
        <v>11</v>
      </c>
      <c r="G5" s="42">
        <f>INDEX('3bezr. na wsi'!B3:G28,MATCH(2,B4:B25,0),5)</f>
        <v>723</v>
      </c>
      <c r="H5" s="6">
        <f>INDEX('3bezr. na wsi'!B3:G28,MATCH(2,B4:B25,0),6)</f>
        <v>140</v>
      </c>
    </row>
    <row r="6" spans="1:8" x14ac:dyDescent="0.2">
      <c r="A6" s="3">
        <v>3</v>
      </c>
      <c r="B6" s="6">
        <f>RANK('3bezr. na wsi'!C5,'3bezr. na wsi'!$C$3:'3bezr. na wsi'!$C$28,1)+COUNTIF('3bezr. na wsi'!$C$3:'3bezr. na wsi'!C5,'3bezr. na wsi'!C5)-1</f>
        <v>6</v>
      </c>
      <c r="C6" s="5" t="str">
        <f>INDEX('3bezr. na wsi'!B3:G28,MATCH(3,B4:B25,0),1)</f>
        <v>lubaczowski</v>
      </c>
      <c r="D6" s="6">
        <f>INDEX('3bezr. na wsi'!B3:G28,MATCH(3,B4:B25,0),2)</f>
        <v>998</v>
      </c>
      <c r="E6" s="42">
        <f>INDEX('3bezr. na wsi'!B3:G28,MATCH(3,B4:B25,0),3)</f>
        <v>993</v>
      </c>
      <c r="F6" s="6">
        <f>INDEX('3bezr. na wsi'!B3:G28,MATCH(3,B4:B25,0),4)</f>
        <v>5</v>
      </c>
      <c r="G6" s="42">
        <f>INDEX('3bezr. na wsi'!B3:G28,MATCH(3,B4:B25,0),5)</f>
        <v>1027</v>
      </c>
      <c r="H6" s="6">
        <f>INDEX('3bezr. na wsi'!B3:G28,MATCH(3,B4:B25,0),6)</f>
        <v>-29</v>
      </c>
    </row>
    <row r="7" spans="1:8" x14ac:dyDescent="0.2">
      <c r="A7" s="3">
        <v>4</v>
      </c>
      <c r="B7" s="6">
        <f>RANK('3bezr. na wsi'!C6,'3bezr. na wsi'!$C$3:'3bezr. na wsi'!$C$28,1)+COUNTIF('3bezr. na wsi'!$C$3:'3bezr. na wsi'!C6,'3bezr. na wsi'!C6)-1</f>
        <v>17</v>
      </c>
      <c r="C7" s="5" t="str">
        <f>INDEX('3bezr. na wsi'!B3:G28,MATCH(4,B4:B25,0),1)</f>
        <v xml:space="preserve">tarnobrzeski </v>
      </c>
      <c r="D7" s="6">
        <f>INDEX('3bezr. na wsi'!B3:G28,MATCH(4,B4:B25,0),2)</f>
        <v>1009</v>
      </c>
      <c r="E7" s="42">
        <f>INDEX('3bezr. na wsi'!B3:G28,MATCH(4,B4:B25,0),3)</f>
        <v>1000</v>
      </c>
      <c r="F7" s="6">
        <f>INDEX('3bezr. na wsi'!B3:G28,MATCH(4,B4:B25,0),4)</f>
        <v>9</v>
      </c>
      <c r="G7" s="42">
        <f>INDEX('3bezr. na wsi'!B3:G28,MATCH(4,B4:B25,0),5)</f>
        <v>982</v>
      </c>
      <c r="H7" s="6">
        <f>INDEX('3bezr. na wsi'!B3:G28,MATCH(4,B4:B25,0),6)</f>
        <v>27</v>
      </c>
    </row>
    <row r="8" spans="1:8" x14ac:dyDescent="0.2">
      <c r="A8" s="3">
        <v>5</v>
      </c>
      <c r="B8" s="6">
        <f>RANK('3bezr. na wsi'!C7,'3bezr. na wsi'!$C$3:'3bezr. na wsi'!$C$28,1)+COUNTIF('3bezr. na wsi'!$C$3:'3bezr. na wsi'!C7,'3bezr. na wsi'!C7)-1</f>
        <v>20</v>
      </c>
      <c r="C8" s="5" t="str">
        <f>INDEX('3bezr. na wsi'!B3:G28,MATCH(5,B4:B25,0),1)</f>
        <v>leski</v>
      </c>
      <c r="D8" s="6">
        <f>INDEX('3bezr. na wsi'!B3:G28,MATCH(5,B4:B25,0),2)</f>
        <v>1238</v>
      </c>
      <c r="E8" s="42">
        <f>INDEX('3bezr. na wsi'!B3:G28,MATCH(5,B4:B25,0),3)</f>
        <v>1250</v>
      </c>
      <c r="F8" s="6">
        <f>INDEX('3bezr. na wsi'!B3:G28,MATCH(5,B4:B25,0),4)</f>
        <v>-12</v>
      </c>
      <c r="G8" s="42">
        <f>INDEX('3bezr. na wsi'!B3:G28,MATCH(5,B4:B25,0),5)</f>
        <v>1274</v>
      </c>
      <c r="H8" s="6">
        <f>INDEX('3bezr. na wsi'!B3:G28,MATCH(5,B4:B25,0),6)</f>
        <v>-36</v>
      </c>
    </row>
    <row r="9" spans="1:8" x14ac:dyDescent="0.2">
      <c r="A9" s="3">
        <v>6</v>
      </c>
      <c r="B9" s="6">
        <f>RANK('3bezr. na wsi'!C8,'3bezr. na wsi'!$C$3:'3bezr. na wsi'!$C$28,1)+COUNTIF('3bezr. na wsi'!$C$3:'3bezr. na wsi'!C8,'3bezr. na wsi'!C8)-1</f>
        <v>7</v>
      </c>
      <c r="C9" s="5" t="str">
        <f>INDEX('3bezr. na wsi'!B3:G28,MATCH(6,B4:B25,0),1)</f>
        <v>dębicki</v>
      </c>
      <c r="D9" s="6">
        <f>INDEX('3bezr. na wsi'!B3:G28,MATCH(6,B4:B25,0),2)</f>
        <v>1284</v>
      </c>
      <c r="E9" s="42">
        <f>INDEX('3bezr. na wsi'!B3:G28,MATCH(6,B4:B25,0),3)</f>
        <v>1275</v>
      </c>
      <c r="F9" s="6">
        <f>INDEX('3bezr. na wsi'!B3:G28,MATCH(6,B4:B25,0),4)</f>
        <v>9</v>
      </c>
      <c r="G9" s="42">
        <f>INDEX('3bezr. na wsi'!B3:G28,MATCH(6,B4:B25,0),5)</f>
        <v>1333</v>
      </c>
      <c r="H9" s="6">
        <f>INDEX('3bezr. na wsi'!B3:G28,MATCH(6,B4:B25,0),6)</f>
        <v>-49</v>
      </c>
    </row>
    <row r="10" spans="1:8" x14ac:dyDescent="0.2">
      <c r="A10" s="3">
        <v>7</v>
      </c>
      <c r="B10" s="6">
        <f>RANK('3bezr. na wsi'!C9,'3bezr. na wsi'!$C$3:'3bezr. na wsi'!$C$28,1)+COUNTIF('3bezr. na wsi'!$C$3:'3bezr. na wsi'!C9,'3bezr. na wsi'!C9)-1</f>
        <v>13</v>
      </c>
      <c r="C10" s="9" t="str">
        <f>INDEX('3bezr. na wsi'!B3:G28,MATCH(7,B4:B25,0),1)</f>
        <v>kolbuszowski</v>
      </c>
      <c r="D10" s="6">
        <f>INDEX('3bezr. na wsi'!B3:G28,MATCH(7,B4:B25,0),2)</f>
        <v>1298</v>
      </c>
      <c r="E10" s="42">
        <f>INDEX('3bezr. na wsi'!B3:G28,MATCH(7,B4:B25,0),3)</f>
        <v>1288</v>
      </c>
      <c r="F10" s="6">
        <f>INDEX('3bezr. na wsi'!B3:G28,MATCH(7,B4:B25,0),4)</f>
        <v>10</v>
      </c>
      <c r="G10" s="42">
        <f>INDEX('3bezr. na wsi'!B3:G28,MATCH(7,B4:B25,0),5)</f>
        <v>1316</v>
      </c>
      <c r="H10" s="6">
        <f>INDEX('3bezr. na wsi'!B3:G28,MATCH(7,B4:B25,0),6)</f>
        <v>-18</v>
      </c>
    </row>
    <row r="11" spans="1:8" x14ac:dyDescent="0.2">
      <c r="A11" s="3">
        <v>8</v>
      </c>
      <c r="B11" s="6">
        <f>RANK('3bezr. na wsi'!C10,'3bezr. na wsi'!$C$3:'3bezr. na wsi'!$C$28,1)+COUNTIF('3bezr. na wsi'!$C$3:'3bezr. na wsi'!C10,'3bezr. na wsi'!C10)-1</f>
        <v>5</v>
      </c>
      <c r="C11" s="5" t="str">
        <f>INDEX('3bezr. na wsi'!B3:G28,MATCH(8,B4:B25,0),1)</f>
        <v>mielecki</v>
      </c>
      <c r="D11" s="6">
        <f>INDEX('3bezr. na wsi'!B3:G28,MATCH(8,B4:B25,0),2)</f>
        <v>1531</v>
      </c>
      <c r="E11" s="42">
        <f>INDEX('3bezr. na wsi'!B3:G28,MATCH(8,B4:B25,0),3)</f>
        <v>1478</v>
      </c>
      <c r="F11" s="6">
        <f>INDEX('3bezr. na wsi'!B3:G28,MATCH(8,B4:B25,0),4)</f>
        <v>53</v>
      </c>
      <c r="G11" s="42">
        <f>INDEX('3bezr. na wsi'!B3:G28,MATCH(8,B4:B25,0),5)</f>
        <v>1438</v>
      </c>
      <c r="H11" s="6">
        <f>INDEX('3bezr. na wsi'!B3:G28,MATCH(8,B4:B25,0),6)</f>
        <v>93</v>
      </c>
    </row>
    <row r="12" spans="1:8" x14ac:dyDescent="0.2">
      <c r="A12" s="3">
        <v>9</v>
      </c>
      <c r="B12" s="6">
        <f>RANK('3bezr. na wsi'!C11,'3bezr. na wsi'!$C$3:'3bezr. na wsi'!$C$28,1)+COUNTIF('3bezr. na wsi'!$C$3:'3bezr. na wsi'!C11,'3bezr. na wsi'!C11)-1</f>
        <v>14</v>
      </c>
      <c r="C12" s="5" t="str">
        <f>INDEX('3bezr. na wsi'!B3:G28,MATCH(9,B4:B25,0),1)</f>
        <v>sanocki</v>
      </c>
      <c r="D12" s="6">
        <f>INDEX('3bezr. na wsi'!B3:G28,MATCH(9,B4:B25,0),2)</f>
        <v>1661</v>
      </c>
      <c r="E12" s="42">
        <f>INDEX('3bezr. na wsi'!B3:G28,MATCH(9,B4:B25,0),3)</f>
        <v>1691</v>
      </c>
      <c r="F12" s="6">
        <f>INDEX('3bezr. na wsi'!B3:G28,MATCH(9,B4:B25,0),4)</f>
        <v>-30</v>
      </c>
      <c r="G12" s="42">
        <f>INDEX('3bezr. na wsi'!B3:G28,MATCH(9,B4:B25,0),5)</f>
        <v>1571</v>
      </c>
      <c r="H12" s="6">
        <f>INDEX('3bezr. na wsi'!B3:G28,MATCH(9,B4:B25,0),6)</f>
        <v>90</v>
      </c>
    </row>
    <row r="13" spans="1:8" x14ac:dyDescent="0.2">
      <c r="A13" s="3">
        <v>10</v>
      </c>
      <c r="B13" s="6">
        <f>RANK('3bezr. na wsi'!C12,'3bezr. na wsi'!$C$3:'3bezr. na wsi'!$C$28,1)+COUNTIF('3bezr. na wsi'!$C$3:'3bezr. na wsi'!C12,'3bezr. na wsi'!C12)-1</f>
        <v>3</v>
      </c>
      <c r="C13" s="5" t="str">
        <f>INDEX('3bezr. na wsi'!B3:G28,MATCH(10,B4:B25,0),1)</f>
        <v>ropczycko-sędziszowski</v>
      </c>
      <c r="D13" s="6">
        <f>INDEX('3bezr. na wsi'!B3:G28,MATCH(10,B4:B25,0),2)</f>
        <v>1701</v>
      </c>
      <c r="E13" s="42">
        <f>INDEX('3bezr. na wsi'!B3:G28,MATCH(10,B4:B25,0),3)</f>
        <v>1686</v>
      </c>
      <c r="F13" s="6">
        <f>INDEX('3bezr. na wsi'!B3:G28,MATCH(10,B4:B25,0),4)</f>
        <v>15</v>
      </c>
      <c r="G13" s="42">
        <f>INDEX('3bezr. na wsi'!B3:G28,MATCH(10,B4:B25,0),5)</f>
        <v>1674</v>
      </c>
      <c r="H13" s="6">
        <f>INDEX('3bezr. na wsi'!B3:G28,MATCH(10,B4:B25,0),6)</f>
        <v>27</v>
      </c>
    </row>
    <row r="14" spans="1:8" x14ac:dyDescent="0.2">
      <c r="A14" s="3">
        <v>11</v>
      </c>
      <c r="B14" s="6">
        <f>RANK('3bezr. na wsi'!C13,'3bezr. na wsi'!$C$3:'3bezr. na wsi'!$C$28,1)+COUNTIF('3bezr. na wsi'!$C$3:'3bezr. na wsi'!C13,'3bezr. na wsi'!C13)-1</f>
        <v>11</v>
      </c>
      <c r="C14" s="5" t="str">
        <f>INDEX('3bezr. na wsi'!B3:G28,MATCH(11,B4:B25,0),1)</f>
        <v>łańcucki</v>
      </c>
      <c r="D14" s="6">
        <f>INDEX('3bezr. na wsi'!B3:G28,MATCH(11,B4:B25,0),2)</f>
        <v>1804</v>
      </c>
      <c r="E14" s="42">
        <f>INDEX('3bezr. na wsi'!B3:G28,MATCH(11,B4:B25,0),3)</f>
        <v>1857</v>
      </c>
      <c r="F14" s="6">
        <f>INDEX('3bezr. na wsi'!B3:G28,MATCH(11,B4:B25,0),4)</f>
        <v>-53</v>
      </c>
      <c r="G14" s="42">
        <f>INDEX('3bezr. na wsi'!B3:G28,MATCH(11,B4:B25,0),5)</f>
        <v>1857</v>
      </c>
      <c r="H14" s="6">
        <f>INDEX('3bezr. na wsi'!B3:G28,MATCH(11,B4:B25,0),6)</f>
        <v>-53</v>
      </c>
    </row>
    <row r="15" spans="1:8" x14ac:dyDescent="0.2">
      <c r="A15" s="3">
        <v>12</v>
      </c>
      <c r="B15" s="6">
        <f>RANK('3bezr. na wsi'!C14,'3bezr. na wsi'!$C$3:'3bezr. na wsi'!$C$28,1)+COUNTIF('3bezr. na wsi'!$C$3:'3bezr. na wsi'!C14,'3bezr. na wsi'!C14)-1</f>
        <v>8</v>
      </c>
      <c r="C15" s="5" t="str">
        <f>INDEX('3bezr. na wsi'!B3:G28,MATCH(12,B4:B25,0),1)</f>
        <v>niżański</v>
      </c>
      <c r="D15" s="6">
        <f>INDEX('3bezr. na wsi'!B3:G28,MATCH(12,B4:B25,0),2)</f>
        <v>1860</v>
      </c>
      <c r="E15" s="42">
        <f>INDEX('3bezr. na wsi'!B3:G28,MATCH(12,B4:B25,0),3)</f>
        <v>1855</v>
      </c>
      <c r="F15" s="6">
        <f>INDEX('3bezr. na wsi'!B3:G28,MATCH(12,B4:B25,0),4)</f>
        <v>5</v>
      </c>
      <c r="G15" s="42">
        <f>INDEX('3bezr. na wsi'!B3:G28,MATCH(12,B4:B25,0),5)</f>
        <v>1834</v>
      </c>
      <c r="H15" s="6">
        <f>INDEX('3bezr. na wsi'!B3:G28,MATCH(12,B4:B25,0),6)</f>
        <v>26</v>
      </c>
    </row>
    <row r="16" spans="1:8" x14ac:dyDescent="0.2">
      <c r="A16" s="3">
        <v>13</v>
      </c>
      <c r="B16" s="6">
        <f>RANK('3bezr. na wsi'!C15,'3bezr. na wsi'!$C$3:'3bezr. na wsi'!$C$28,1)+COUNTIF('3bezr. na wsi'!$C$3:'3bezr. na wsi'!C15,'3bezr. na wsi'!C15)-1</f>
        <v>12</v>
      </c>
      <c r="C16" s="5" t="str">
        <f>INDEX('3bezr. na wsi'!B3:G28,MATCH(13,B4:B25,0),1)</f>
        <v>krośnieński</v>
      </c>
      <c r="D16" s="6">
        <f>INDEX('3bezr. na wsi'!B3:G28,MATCH(13,B4:B25,0),2)</f>
        <v>2138</v>
      </c>
      <c r="E16" s="42">
        <f>INDEX('3bezr. na wsi'!B3:G28,MATCH(13,B4:B25,0),3)</f>
        <v>2125</v>
      </c>
      <c r="F16" s="6">
        <f>INDEX('3bezr. na wsi'!B3:G28,MATCH(13,B4:B25,0),4)</f>
        <v>13</v>
      </c>
      <c r="G16" s="42">
        <f>INDEX('3bezr. na wsi'!B3:G28,MATCH(13,B4:B25,0),5)</f>
        <v>1920</v>
      </c>
      <c r="H16" s="6">
        <f>INDEX('3bezr. na wsi'!B3:G28,MATCH(13,B4:B25,0),6)</f>
        <v>218</v>
      </c>
    </row>
    <row r="17" spans="1:8" x14ac:dyDescent="0.2">
      <c r="A17" s="3">
        <v>14</v>
      </c>
      <c r="B17" s="6">
        <f>RANK('3bezr. na wsi'!C16,'3bezr. na wsi'!$C$3:'3bezr. na wsi'!$C$28,1)+COUNTIF('3bezr. na wsi'!$C$3:'3bezr. na wsi'!C16,'3bezr. na wsi'!C16)-1</f>
        <v>18</v>
      </c>
      <c r="C17" s="5" t="str">
        <f>INDEX('3bezr. na wsi'!B3:G28,MATCH(14,B4:B25,0),1)</f>
        <v>leżajski</v>
      </c>
      <c r="D17" s="6">
        <f>INDEX('3bezr. na wsi'!B3:G28,MATCH(14,B4:B25,0),2)</f>
        <v>2155</v>
      </c>
      <c r="E17" s="42">
        <f>INDEX('3bezr. na wsi'!B3:G28,MATCH(14,B4:B25,0),3)</f>
        <v>2135</v>
      </c>
      <c r="F17" s="6">
        <f>INDEX('3bezr. na wsi'!B3:G28,MATCH(14,B4:B25,0),4)</f>
        <v>20</v>
      </c>
      <c r="G17" s="42">
        <f>INDEX('3bezr. na wsi'!B3:G28,MATCH(14,B4:B25,0),5)</f>
        <v>2113</v>
      </c>
      <c r="H17" s="6">
        <f>INDEX('3bezr. na wsi'!B3:G28,MATCH(14,B4:B25,0),6)</f>
        <v>42</v>
      </c>
    </row>
    <row r="18" spans="1:8" x14ac:dyDescent="0.2">
      <c r="A18" s="3">
        <v>15</v>
      </c>
      <c r="B18" s="6">
        <f>RANK('3bezr. na wsi'!C17,'3bezr. na wsi'!$C$3:'3bezr. na wsi'!$C$28,1)+COUNTIF('3bezr. na wsi'!$C$3:'3bezr. na wsi'!C17,'3bezr. na wsi'!C17)-1</f>
        <v>15</v>
      </c>
      <c r="C18" s="5" t="str">
        <f>INDEX('3bezr. na wsi'!B3:G28,MATCH(15,B4:B25,0),1)</f>
        <v>przeworski</v>
      </c>
      <c r="D18" s="6">
        <f>INDEX('3bezr. na wsi'!B3:G28,MATCH(15,B4:B25,0),2)</f>
        <v>2450</v>
      </c>
      <c r="E18" s="42">
        <f>INDEX('3bezr. na wsi'!B3:G28,MATCH(15,B4:B25,0),3)</f>
        <v>2439</v>
      </c>
      <c r="F18" s="6">
        <f>INDEX('3bezr. na wsi'!B3:G28,MATCH(15,B4:B25,0),4)</f>
        <v>11</v>
      </c>
      <c r="G18" s="42">
        <f>INDEX('3bezr. na wsi'!B3:G28,MATCH(15,B4:B25,0),5)</f>
        <v>2353</v>
      </c>
      <c r="H18" s="6">
        <f>INDEX('3bezr. na wsi'!B3:G28,MATCH(15,B4:B25,0),6)</f>
        <v>97</v>
      </c>
    </row>
    <row r="19" spans="1:8" x14ac:dyDescent="0.2">
      <c r="A19" s="3">
        <v>16</v>
      </c>
      <c r="B19" s="6">
        <f>RANK('3bezr. na wsi'!C18,'3bezr. na wsi'!$C$3:'3bezr. na wsi'!$C$28,1)+COUNTIF('3bezr. na wsi'!$C$3:'3bezr. na wsi'!C18,'3bezr. na wsi'!C18)-1</f>
        <v>10</v>
      </c>
      <c r="C19" s="5" t="str">
        <f>INDEX('3bezr. na wsi'!B3:G28,MATCH(16,B4:B25,0),1)</f>
        <v>strzyżowski</v>
      </c>
      <c r="D19" s="6">
        <f>INDEX('3bezr. na wsi'!B3:G28,MATCH(16,B4:B25,0),2)</f>
        <v>2632</v>
      </c>
      <c r="E19" s="42">
        <f>INDEX('3bezr. na wsi'!B3:G28,MATCH(16,B4:B25,0),3)</f>
        <v>2611</v>
      </c>
      <c r="F19" s="6">
        <f>INDEX('3bezr. na wsi'!B3:G28,MATCH(16,B4:B25,0),4)</f>
        <v>21</v>
      </c>
      <c r="G19" s="42">
        <f>INDEX('3bezr. na wsi'!B3:G28,MATCH(16,B4:B25,0),5)</f>
        <v>2702</v>
      </c>
      <c r="H19" s="6">
        <f>INDEX('3bezr. na wsi'!B3:G28,MATCH(16,B4:B25,0),6)</f>
        <v>-70</v>
      </c>
    </row>
    <row r="20" spans="1:8" x14ac:dyDescent="0.2">
      <c r="A20" s="3">
        <v>17</v>
      </c>
      <c r="B20" s="6">
        <f>RANK('3bezr. na wsi'!C19,'3bezr. na wsi'!$C$3:'3bezr. na wsi'!$C$28,1)+COUNTIF('3bezr. na wsi'!$C$3:'3bezr. na wsi'!C19,'3bezr. na wsi'!C19)-1</f>
        <v>21</v>
      </c>
      <c r="C20" s="5" t="str">
        <f>INDEX('3bezr. na wsi'!B3:G28,MATCH(17,B4:B25,0),1)</f>
        <v>jarosławski</v>
      </c>
      <c r="D20" s="6">
        <f>INDEX('3bezr. na wsi'!B3:G28,MATCH(17,B4:B25,0),2)</f>
        <v>2724</v>
      </c>
      <c r="E20" s="42">
        <f>INDEX('3bezr. na wsi'!B3:G28,MATCH(17,B4:B25,0),3)</f>
        <v>2703</v>
      </c>
      <c r="F20" s="6">
        <f>INDEX('3bezr. na wsi'!B3:G28,MATCH(17,B4:B25,0),4)</f>
        <v>21</v>
      </c>
      <c r="G20" s="42">
        <f>INDEX('3bezr. na wsi'!B3:G28,MATCH(17,B4:B25,0),5)</f>
        <v>2609</v>
      </c>
      <c r="H20" s="6">
        <f>INDEX('3bezr. na wsi'!B3:G28,MATCH(17,B4:B25,0),6)</f>
        <v>115</v>
      </c>
    </row>
    <row r="21" spans="1:8" x14ac:dyDescent="0.2">
      <c r="A21" s="3">
        <v>18</v>
      </c>
      <c r="B21" s="6">
        <f>RANK('3bezr. na wsi'!C20,'3bezr. na wsi'!$C$3:'3bezr. na wsi'!$C$28,1)+COUNTIF('3bezr. na wsi'!$C$3:'3bezr. na wsi'!C20,'3bezr. na wsi'!C20)-1</f>
        <v>9</v>
      </c>
      <c r="C21" s="5" t="str">
        <f>INDEX('3bezr. na wsi'!B3:G28,MATCH(18,B4:B25,0),1)</f>
        <v>przemyski</v>
      </c>
      <c r="D21" s="6">
        <f>INDEX('3bezr. na wsi'!B3:G28,MATCH(18,B4:B25,0),2)</f>
        <v>2757</v>
      </c>
      <c r="E21" s="42">
        <f>INDEX('3bezr. na wsi'!B3:G28,MATCH(18,B4:B25,0),3)</f>
        <v>2732</v>
      </c>
      <c r="F21" s="6">
        <f>INDEX('3bezr. na wsi'!B3:G28,MATCH(18,B4:B25,0),4)</f>
        <v>25</v>
      </c>
      <c r="G21" s="42">
        <f>INDEX('3bezr. na wsi'!B3:G28,MATCH(18,B4:B25,0),5)</f>
        <v>2645</v>
      </c>
      <c r="H21" s="6">
        <f>INDEX('3bezr. na wsi'!B3:G28,MATCH(18,B4:B25,0),6)</f>
        <v>112</v>
      </c>
    </row>
    <row r="22" spans="1:8" x14ac:dyDescent="0.2">
      <c r="A22" s="3">
        <v>19</v>
      </c>
      <c r="B22" s="6">
        <f>RANK('3bezr. na wsi'!C21,'3bezr. na wsi'!$C$3:'3bezr. na wsi'!$C$28,1)+COUNTIF('3bezr. na wsi'!$C$3:'3bezr. na wsi'!C21,'3bezr. na wsi'!C21)-1</f>
        <v>2</v>
      </c>
      <c r="C22" s="5" t="str">
        <f>INDEX('3bezr. na wsi'!B3:G28,MATCH(19,B4:B25,0),1)</f>
        <v>brzozowski</v>
      </c>
      <c r="D22" s="6">
        <f>INDEX('3bezr. na wsi'!B3:G28,MATCH(19,B4:B25,0),2)</f>
        <v>3174</v>
      </c>
      <c r="E22" s="42">
        <f>INDEX('3bezr. na wsi'!B3:G28,MATCH(19,B4:B25,0),3)</f>
        <v>3209</v>
      </c>
      <c r="F22" s="6">
        <f>INDEX('3bezr. na wsi'!B3:G28,MATCH(19,B4:B25,0),4)</f>
        <v>-35</v>
      </c>
      <c r="G22" s="42">
        <f>INDEX('3bezr. na wsi'!B3:G28,MATCH(19,B4:B25,0),5)</f>
        <v>3151</v>
      </c>
      <c r="H22" s="6">
        <f>INDEX('3bezr. na wsi'!B3:G28,MATCH(19,B4:B25,0),6)</f>
        <v>23</v>
      </c>
    </row>
    <row r="23" spans="1:8" x14ac:dyDescent="0.2">
      <c r="A23" s="3">
        <v>20</v>
      </c>
      <c r="B23" s="6">
        <f>RANK('3bezr. na wsi'!C22,'3bezr. na wsi'!$C$3:'3bezr. na wsi'!$C$28,1)+COUNTIF('3bezr. na wsi'!$C$3:'3bezr. na wsi'!C22,'3bezr. na wsi'!C22)-1</f>
        <v>16</v>
      </c>
      <c r="C23" s="5" t="str">
        <f>INDEX('3bezr. na wsi'!B3:G28,MATCH(20,B4:B25,0),1)</f>
        <v>jasielski</v>
      </c>
      <c r="D23" s="6">
        <f>INDEX('3bezr. na wsi'!B3:G28,MATCH(20,B4:B25,0),2)</f>
        <v>3266</v>
      </c>
      <c r="E23" s="42">
        <f>INDEX('3bezr. na wsi'!B3:G28,MATCH(20,B4:B25,0),3)</f>
        <v>3260</v>
      </c>
      <c r="F23" s="6">
        <f>INDEX('3bezr. na wsi'!B3:G28,MATCH(20,B4:B25,0),4)</f>
        <v>6</v>
      </c>
      <c r="G23" s="42">
        <f>INDEX('3bezr. na wsi'!B3:G28,MATCH(20,B4:B25,0),5)</f>
        <v>3319</v>
      </c>
      <c r="H23" s="6">
        <f>INDEX('3bezr. na wsi'!B3:G28,MATCH(20,B4:B25,0),6)</f>
        <v>-53</v>
      </c>
    </row>
    <row r="24" spans="1:8" x14ac:dyDescent="0.2">
      <c r="A24" s="3">
        <v>21</v>
      </c>
      <c r="B24" s="6">
        <f>RANK('3bezr. na wsi'!C23,'3bezr. na wsi'!$C$3:'3bezr. na wsi'!$C$28,1)+COUNTIF('3bezr. na wsi'!$C$3:'3bezr. na wsi'!C23,'3bezr. na wsi'!C23)-1</f>
        <v>4</v>
      </c>
      <c r="C24" s="5" t="str">
        <f>INDEX('3bezr. na wsi'!B3:G28,MATCH(21,B4:B25,0),1)</f>
        <v>rzeszowski</v>
      </c>
      <c r="D24" s="6">
        <f>INDEX('3bezr. na wsi'!B3:G28,MATCH(21,B4:B25,0),2)</f>
        <v>3533</v>
      </c>
      <c r="E24" s="42">
        <f>INDEX('3bezr. na wsi'!B3:G28,MATCH(21,B4:B25,0),3)</f>
        <v>3500</v>
      </c>
      <c r="F24" s="6">
        <f>INDEX('3bezr. na wsi'!B3:G28,MATCH(21,B4:B25,0),4)</f>
        <v>33</v>
      </c>
      <c r="G24" s="42">
        <f>INDEX('3bezr. na wsi'!B3:G28,MATCH(21,B4:B25,0),5)</f>
        <v>3510</v>
      </c>
      <c r="H24" s="6">
        <f>INDEX('3bezr. na wsi'!B3:G28,MATCH(21,B4:B25,0),6)</f>
        <v>23</v>
      </c>
    </row>
    <row r="25" spans="1:8" ht="15" x14ac:dyDescent="0.25">
      <c r="A25" s="3">
        <v>22</v>
      </c>
      <c r="B25" s="40">
        <f>RANK('3bezr. na wsi'!C24,'3bezr. na wsi'!$C$3:'3bezr. na wsi'!$C$28,1)+COUNTIF('3bezr. na wsi'!$C$3:'3bezr. na wsi'!C24,'3bezr. na wsi'!C24)-1</f>
        <v>22</v>
      </c>
      <c r="C25" s="47" t="str">
        <f>INDEX('3bezr. na wsi'!B3:G28,MATCH(22,B4:B25,0),1)</f>
        <v>województwo</v>
      </c>
      <c r="D25" s="40">
        <f>INDEX('3bezr. na wsi'!B3:G28,MATCH(22,B4:B25,0),2)</f>
        <v>40691</v>
      </c>
      <c r="E25" s="44">
        <f>INDEX('3bezr. na wsi'!B3:G28,MATCH(22,B4:B25,0),3)</f>
        <v>40562</v>
      </c>
      <c r="F25" s="40">
        <f>INDEX('3bezr. na wsi'!B3:G28,MATCH(22,B4:B25,0),4)</f>
        <v>129</v>
      </c>
      <c r="G25" s="44">
        <f>INDEX('3bezr. na wsi'!B3:G28,MATCH(22,B4:B25,0),5)</f>
        <v>40012</v>
      </c>
      <c r="H25" s="40">
        <f>INDEX('3bezr. na wsi'!B3:G28,MATCH(22,B4:B25,0),6)</f>
        <v>679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B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5.28515625" style="3" customWidth="1"/>
    <col min="3" max="3" width="19.140625" style="3" customWidth="1"/>
    <col min="4" max="4" width="21" style="3" customWidth="1"/>
    <col min="5" max="5" width="17.5703125" style="3" customWidth="1"/>
    <col min="6" max="6" width="19.425781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35</v>
      </c>
      <c r="C1" s="25"/>
      <c r="D1" s="25"/>
      <c r="E1" s="25"/>
      <c r="F1" s="25"/>
      <c r="G1" s="25"/>
    </row>
    <row r="2" spans="2:8" ht="58.5" x14ac:dyDescent="0.2">
      <c r="B2" s="36" t="s">
        <v>27</v>
      </c>
      <c r="C2" s="37" t="s">
        <v>87</v>
      </c>
      <c r="D2" s="38" t="s">
        <v>86</v>
      </c>
      <c r="E2" s="37" t="s">
        <v>28</v>
      </c>
      <c r="F2" s="38" t="s">
        <v>88</v>
      </c>
      <c r="G2" s="37" t="s">
        <v>26</v>
      </c>
    </row>
    <row r="3" spans="2:8" x14ac:dyDescent="0.2">
      <c r="B3" s="5" t="s">
        <v>0</v>
      </c>
      <c r="C3" s="6">
        <v>624</v>
      </c>
      <c r="D3" s="42">
        <v>614</v>
      </c>
      <c r="E3" s="6">
        <f t="shared" ref="E3:E26" si="0">SUM(C3)-D3</f>
        <v>10</v>
      </c>
      <c r="F3" s="42">
        <v>617</v>
      </c>
      <c r="G3" s="6">
        <f t="shared" ref="G3:G27" si="1">SUM(C3)-F3</f>
        <v>7</v>
      </c>
      <c r="H3" s="7"/>
    </row>
    <row r="4" spans="2:8" x14ac:dyDescent="0.2">
      <c r="B4" s="5" t="s">
        <v>1</v>
      </c>
      <c r="C4" s="6">
        <v>2268</v>
      </c>
      <c r="D4" s="42">
        <v>2280</v>
      </c>
      <c r="E4" s="6">
        <f t="shared" si="0"/>
        <v>-12</v>
      </c>
      <c r="F4" s="42">
        <v>2314</v>
      </c>
      <c r="G4" s="6">
        <f t="shared" si="1"/>
        <v>-46</v>
      </c>
      <c r="H4" s="7"/>
    </row>
    <row r="5" spans="2:8" x14ac:dyDescent="0.2">
      <c r="B5" s="5" t="s">
        <v>2</v>
      </c>
      <c r="C5" s="6">
        <v>913</v>
      </c>
      <c r="D5" s="42">
        <v>918</v>
      </c>
      <c r="E5" s="6">
        <f t="shared" si="0"/>
        <v>-5</v>
      </c>
      <c r="F5" s="42">
        <v>954</v>
      </c>
      <c r="G5" s="6">
        <f t="shared" si="1"/>
        <v>-41</v>
      </c>
      <c r="H5" s="7"/>
    </row>
    <row r="6" spans="2:8" x14ac:dyDescent="0.2">
      <c r="B6" s="5" t="s">
        <v>3</v>
      </c>
      <c r="C6" s="6">
        <v>2454</v>
      </c>
      <c r="D6" s="42">
        <v>2438</v>
      </c>
      <c r="E6" s="6">
        <f t="shared" si="0"/>
        <v>16</v>
      </c>
      <c r="F6" s="42">
        <v>2442</v>
      </c>
      <c r="G6" s="6">
        <f t="shared" si="1"/>
        <v>12</v>
      </c>
      <c r="H6" s="7"/>
    </row>
    <row r="7" spans="2:8" x14ac:dyDescent="0.2">
      <c r="B7" s="5" t="s">
        <v>4</v>
      </c>
      <c r="C7" s="6">
        <v>2904</v>
      </c>
      <c r="D7" s="42">
        <v>2870</v>
      </c>
      <c r="E7" s="6">
        <f t="shared" si="0"/>
        <v>34</v>
      </c>
      <c r="F7" s="42">
        <v>2922</v>
      </c>
      <c r="G7" s="6">
        <f t="shared" si="1"/>
        <v>-18</v>
      </c>
      <c r="H7" s="7"/>
    </row>
    <row r="8" spans="2:8" x14ac:dyDescent="0.2">
      <c r="B8" s="5" t="s">
        <v>5</v>
      </c>
      <c r="C8" s="6">
        <v>758</v>
      </c>
      <c r="D8" s="42">
        <v>755</v>
      </c>
      <c r="E8" s="6">
        <f t="shared" si="0"/>
        <v>3</v>
      </c>
      <c r="F8" s="42">
        <v>713</v>
      </c>
      <c r="G8" s="6">
        <f t="shared" si="1"/>
        <v>45</v>
      </c>
      <c r="H8" s="7"/>
    </row>
    <row r="9" spans="2:8" x14ac:dyDescent="0.2">
      <c r="B9" s="9" t="s">
        <v>6</v>
      </c>
      <c r="C9" s="6">
        <v>1070</v>
      </c>
      <c r="D9" s="42">
        <v>1063</v>
      </c>
      <c r="E9" s="6">
        <f t="shared" si="0"/>
        <v>7</v>
      </c>
      <c r="F9" s="42">
        <v>973</v>
      </c>
      <c r="G9" s="6">
        <f t="shared" si="1"/>
        <v>97</v>
      </c>
      <c r="H9" s="7"/>
    </row>
    <row r="10" spans="2:8" x14ac:dyDescent="0.2">
      <c r="B10" s="5" t="s">
        <v>7</v>
      </c>
      <c r="C10" s="6">
        <v>996</v>
      </c>
      <c r="D10" s="42">
        <v>1004</v>
      </c>
      <c r="E10" s="6">
        <f t="shared" si="0"/>
        <v>-8</v>
      </c>
      <c r="F10" s="42">
        <v>1027</v>
      </c>
      <c r="G10" s="6">
        <f t="shared" si="1"/>
        <v>-31</v>
      </c>
      <c r="H10" s="7"/>
    </row>
    <row r="11" spans="2:8" x14ac:dyDescent="0.2">
      <c r="B11" s="5" t="s">
        <v>8</v>
      </c>
      <c r="C11" s="6">
        <v>1685</v>
      </c>
      <c r="D11" s="42">
        <v>1665</v>
      </c>
      <c r="E11" s="6">
        <f t="shared" si="0"/>
        <v>20</v>
      </c>
      <c r="F11" s="42">
        <v>1641</v>
      </c>
      <c r="G11" s="6">
        <f t="shared" si="1"/>
        <v>44</v>
      </c>
      <c r="H11" s="7"/>
    </row>
    <row r="12" spans="2:8" x14ac:dyDescent="0.2">
      <c r="B12" s="5" t="s">
        <v>9</v>
      </c>
      <c r="C12" s="6">
        <v>829</v>
      </c>
      <c r="D12" s="42">
        <v>820</v>
      </c>
      <c r="E12" s="6">
        <f t="shared" si="0"/>
        <v>9</v>
      </c>
      <c r="F12" s="42">
        <v>823</v>
      </c>
      <c r="G12" s="6">
        <f t="shared" si="1"/>
        <v>6</v>
      </c>
      <c r="H12" s="7"/>
    </row>
    <row r="13" spans="2:8" x14ac:dyDescent="0.2">
      <c r="B13" s="5" t="s">
        <v>10</v>
      </c>
      <c r="C13" s="6">
        <v>1133</v>
      </c>
      <c r="D13" s="42">
        <v>1145</v>
      </c>
      <c r="E13" s="6">
        <f t="shared" si="0"/>
        <v>-12</v>
      </c>
      <c r="F13" s="42">
        <v>1194</v>
      </c>
      <c r="G13" s="6">
        <f t="shared" si="1"/>
        <v>-61</v>
      </c>
      <c r="H13" s="7"/>
    </row>
    <row r="14" spans="2:8" x14ac:dyDescent="0.2">
      <c r="B14" s="5" t="s">
        <v>11</v>
      </c>
      <c r="C14" s="6">
        <v>1538</v>
      </c>
      <c r="D14" s="42">
        <v>1513</v>
      </c>
      <c r="E14" s="6">
        <f t="shared" si="0"/>
        <v>25</v>
      </c>
      <c r="F14" s="42">
        <v>1385</v>
      </c>
      <c r="G14" s="6">
        <f t="shared" si="1"/>
        <v>153</v>
      </c>
      <c r="H14" s="7"/>
    </row>
    <row r="15" spans="2:8" x14ac:dyDescent="0.2">
      <c r="B15" s="5" t="s">
        <v>12</v>
      </c>
      <c r="C15" s="6">
        <v>1677</v>
      </c>
      <c r="D15" s="42">
        <v>1639</v>
      </c>
      <c r="E15" s="6">
        <f t="shared" si="0"/>
        <v>38</v>
      </c>
      <c r="F15" s="42">
        <v>1594</v>
      </c>
      <c r="G15" s="6">
        <f t="shared" si="1"/>
        <v>83</v>
      </c>
      <c r="H15" s="7"/>
    </row>
    <row r="16" spans="2:8" x14ac:dyDescent="0.2">
      <c r="B16" s="5" t="s">
        <v>13</v>
      </c>
      <c r="C16" s="6">
        <v>1651</v>
      </c>
      <c r="D16" s="42">
        <v>1629</v>
      </c>
      <c r="E16" s="6">
        <f t="shared" si="0"/>
        <v>22</v>
      </c>
      <c r="F16" s="42">
        <v>1620</v>
      </c>
      <c r="G16" s="6">
        <f t="shared" si="1"/>
        <v>31</v>
      </c>
      <c r="H16" s="7"/>
    </row>
    <row r="17" spans="2:8" x14ac:dyDescent="0.2">
      <c r="B17" s="5" t="s">
        <v>14</v>
      </c>
      <c r="C17" s="6">
        <v>1908</v>
      </c>
      <c r="D17" s="42">
        <v>1922</v>
      </c>
      <c r="E17" s="6">
        <f t="shared" si="0"/>
        <v>-14</v>
      </c>
      <c r="F17" s="42">
        <v>1899</v>
      </c>
      <c r="G17" s="6">
        <f t="shared" si="1"/>
        <v>9</v>
      </c>
      <c r="H17" s="7"/>
    </row>
    <row r="18" spans="2:8" x14ac:dyDescent="0.2">
      <c r="B18" s="5" t="s">
        <v>15</v>
      </c>
      <c r="C18" s="6">
        <v>1417</v>
      </c>
      <c r="D18" s="42">
        <v>1423</v>
      </c>
      <c r="E18" s="6">
        <f t="shared" si="0"/>
        <v>-6</v>
      </c>
      <c r="F18" s="42">
        <v>1298</v>
      </c>
      <c r="G18" s="6">
        <f t="shared" si="1"/>
        <v>119</v>
      </c>
      <c r="H18" s="7"/>
    </row>
    <row r="19" spans="2:8" x14ac:dyDescent="0.2">
      <c r="B19" s="5" t="s">
        <v>16</v>
      </c>
      <c r="C19" s="6">
        <v>2561</v>
      </c>
      <c r="D19" s="42">
        <v>2540</v>
      </c>
      <c r="E19" s="6">
        <f t="shared" si="0"/>
        <v>21</v>
      </c>
      <c r="F19" s="42">
        <v>2506</v>
      </c>
      <c r="G19" s="6">
        <f t="shared" si="1"/>
        <v>55</v>
      </c>
      <c r="H19" s="7"/>
    </row>
    <row r="20" spans="2:8" x14ac:dyDescent="0.2">
      <c r="B20" s="5" t="s">
        <v>17</v>
      </c>
      <c r="C20" s="6">
        <v>1547</v>
      </c>
      <c r="D20" s="42">
        <v>1541</v>
      </c>
      <c r="E20" s="6">
        <f t="shared" si="0"/>
        <v>6</v>
      </c>
      <c r="F20" s="42">
        <v>1440</v>
      </c>
      <c r="G20" s="6">
        <f t="shared" si="1"/>
        <v>107</v>
      </c>
      <c r="H20" s="7"/>
    </row>
    <row r="21" spans="2:8" x14ac:dyDescent="0.2">
      <c r="B21" s="5" t="s">
        <v>18</v>
      </c>
      <c r="C21" s="6">
        <v>946</v>
      </c>
      <c r="D21" s="42">
        <v>931</v>
      </c>
      <c r="E21" s="6">
        <f t="shared" si="0"/>
        <v>15</v>
      </c>
      <c r="F21" s="42">
        <v>769</v>
      </c>
      <c r="G21" s="6">
        <f t="shared" si="1"/>
        <v>177</v>
      </c>
      <c r="H21" s="7"/>
    </row>
    <row r="22" spans="2:8" x14ac:dyDescent="0.2">
      <c r="B22" s="5" t="s">
        <v>19</v>
      </c>
      <c r="C22" s="6">
        <v>1843</v>
      </c>
      <c r="D22" s="42">
        <v>1830</v>
      </c>
      <c r="E22" s="6">
        <f t="shared" si="0"/>
        <v>13</v>
      </c>
      <c r="F22" s="42">
        <v>1868</v>
      </c>
      <c r="G22" s="6">
        <f t="shared" si="1"/>
        <v>-25</v>
      </c>
      <c r="H22" s="7"/>
    </row>
    <row r="23" spans="2:8" x14ac:dyDescent="0.2">
      <c r="B23" s="5" t="s">
        <v>20</v>
      </c>
      <c r="C23" s="6">
        <v>620</v>
      </c>
      <c r="D23" s="42">
        <v>607</v>
      </c>
      <c r="E23" s="6">
        <f t="shared" si="0"/>
        <v>13</v>
      </c>
      <c r="F23" s="42">
        <v>615</v>
      </c>
      <c r="G23" s="6">
        <f t="shared" si="1"/>
        <v>5</v>
      </c>
      <c r="H23" s="7"/>
    </row>
    <row r="24" spans="2:8" x14ac:dyDescent="0.2">
      <c r="B24" s="5" t="s">
        <v>21</v>
      </c>
      <c r="C24" s="6">
        <v>353</v>
      </c>
      <c r="D24" s="42">
        <v>356</v>
      </c>
      <c r="E24" s="6">
        <f t="shared" si="0"/>
        <v>-3</v>
      </c>
      <c r="F24" s="42">
        <v>320</v>
      </c>
      <c r="G24" s="6">
        <f t="shared" si="1"/>
        <v>33</v>
      </c>
      <c r="H24" s="7"/>
    </row>
    <row r="25" spans="2:8" x14ac:dyDescent="0.2">
      <c r="B25" s="5" t="s">
        <v>22</v>
      </c>
      <c r="C25" s="26">
        <v>1450</v>
      </c>
      <c r="D25" s="42">
        <v>1441</v>
      </c>
      <c r="E25" s="26">
        <f t="shared" si="0"/>
        <v>9</v>
      </c>
      <c r="F25" s="42">
        <v>1448</v>
      </c>
      <c r="G25" s="6">
        <f t="shared" si="1"/>
        <v>2</v>
      </c>
      <c r="H25" s="7"/>
    </row>
    <row r="26" spans="2:8" x14ac:dyDescent="0.2">
      <c r="B26" s="5" t="s">
        <v>23</v>
      </c>
      <c r="C26" s="26">
        <v>2884</v>
      </c>
      <c r="D26" s="42">
        <v>2869</v>
      </c>
      <c r="E26" s="26">
        <f t="shared" si="0"/>
        <v>15</v>
      </c>
      <c r="F26" s="42">
        <v>2975</v>
      </c>
      <c r="G26" s="6">
        <f t="shared" si="1"/>
        <v>-91</v>
      </c>
      <c r="H26" s="7"/>
    </row>
    <row r="27" spans="2:8" x14ac:dyDescent="0.2">
      <c r="B27" s="5" t="s">
        <v>24</v>
      </c>
      <c r="C27" s="26">
        <v>532</v>
      </c>
      <c r="D27" s="42">
        <v>538</v>
      </c>
      <c r="E27" s="26">
        <f>SUM(C27)-D27</f>
        <v>-6</v>
      </c>
      <c r="F27" s="42">
        <v>543</v>
      </c>
      <c r="G27" s="6">
        <f t="shared" si="1"/>
        <v>-11</v>
      </c>
      <c r="H27" s="7"/>
    </row>
    <row r="28" spans="2:8" ht="15" x14ac:dyDescent="0.25">
      <c r="B28" s="39" t="s">
        <v>25</v>
      </c>
      <c r="C28" s="40">
        <f>SUM(C3:C27)</f>
        <v>36561</v>
      </c>
      <c r="D28" s="41">
        <f>SUM(D3:D27)</f>
        <v>36351</v>
      </c>
      <c r="E28" s="40">
        <f>SUM(E3:E27)</f>
        <v>210</v>
      </c>
      <c r="F28" s="41">
        <f>SUM(F3:F27)</f>
        <v>35900</v>
      </c>
      <c r="G28" s="40">
        <f>SUM(G3:G27)</f>
        <v>661</v>
      </c>
      <c r="H28" s="7"/>
    </row>
    <row r="29" spans="2:8" ht="15" x14ac:dyDescent="0.25">
      <c r="B29" s="3" t="s">
        <v>49</v>
      </c>
      <c r="F29" s="7"/>
      <c r="G29" s="7"/>
    </row>
    <row r="30" spans="2:8" x14ac:dyDescent="0.2">
      <c r="B30" s="3" t="s">
        <v>105</v>
      </c>
    </row>
    <row r="31" spans="2:8" x14ac:dyDescent="0.2">
      <c r="B31" s="3" t="s">
        <v>104</v>
      </c>
    </row>
    <row r="32" spans="2:8" x14ac:dyDescent="0.2">
      <c r="C32" s="189">
        <f>SUM(C28/'1bzr.'!C28)*100</f>
        <v>55.829401255210954</v>
      </c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43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T('4długot.'!B2)</f>
        <v>powiaty</v>
      </c>
      <c r="D3" s="36" t="str">
        <f>T('4długot.'!C2)</f>
        <v>liczba bezrobotnych pow. 12 m-cy stan na 30-06-'25 r.</v>
      </c>
      <c r="E3" s="36" t="str">
        <f>T('4długot.'!D2)</f>
        <v>liczba bezrobotnych pow. 12 m-cy stan na 31-05-'25 r.</v>
      </c>
      <c r="F3" s="36" t="str">
        <f>T('4długot.'!E2)</f>
        <v>wzrost/spadek do poprzedniego  miesiąca</v>
      </c>
      <c r="G3" s="36" t="str">
        <f>T('4długot.'!F2)</f>
        <v>liczba bezrobotnych pow. 12 m-cy,  stan na 30-06-'24 r.</v>
      </c>
      <c r="H3" s="36" t="str">
        <f>T('4długot.'!G2)</f>
        <v>wzrost/spadek do analogicznego okresu ubr.</v>
      </c>
    </row>
    <row r="4" spans="2:8" x14ac:dyDescent="0.2">
      <c r="B4" s="6">
        <f>RANK('4długot.'!C3,'4długot.'!$C$3:'4długot.'!$C$28,1)+COUNTIF('4długot.'!$C$3:'4długot.'!C3,'4długot.'!C3)-1</f>
        <v>4</v>
      </c>
      <c r="C4" s="5" t="str">
        <f>INDEX('4długot.'!B3:G28,MATCH(1,B4:B29,0),1)</f>
        <v>Krosno</v>
      </c>
      <c r="D4" s="24">
        <f>INDEX('4długot.'!B3:G28,MATCH(1,B4:B29,0),2)</f>
        <v>353</v>
      </c>
      <c r="E4" s="42">
        <f>INDEX('4długot.'!B3:G28,MATCH(1,B4:B29,0),3)</f>
        <v>356</v>
      </c>
      <c r="F4" s="6">
        <f>INDEX('4długot.'!B3:G28,MATCH(1,B4:B29,0),4)</f>
        <v>-3</v>
      </c>
      <c r="G4" s="42">
        <f>INDEX('4długot.'!B3:G28,MATCH(1,B4:B29,0),5)</f>
        <v>320</v>
      </c>
      <c r="H4" s="6">
        <f>INDEX('4długot.'!B3:G28,MATCH(1,B4:B29,0),6)</f>
        <v>33</v>
      </c>
    </row>
    <row r="5" spans="2:8" x14ac:dyDescent="0.2">
      <c r="B5" s="6">
        <f>RANK('4długot.'!C4,'4długot.'!$C$3:'4długot.'!$C$28,1)+COUNTIF('4długot.'!$C$3:'4długot.'!C4,'4długot.'!C4)-1</f>
        <v>21</v>
      </c>
      <c r="C5" s="5" t="str">
        <f>INDEX('4długot.'!B3:G28,MATCH(2,B4:B29,0),1)</f>
        <v>Tarnobrzeg</v>
      </c>
      <c r="D5" s="6">
        <f>INDEX('4długot.'!B3:G28,MATCH(2,B4:B29,0),2)</f>
        <v>532</v>
      </c>
      <c r="E5" s="42">
        <f>INDEX('4długot.'!B3:G28,MATCH(2,B4:B29,0),3)</f>
        <v>538</v>
      </c>
      <c r="F5" s="6">
        <f>INDEX('4długot.'!B3:G28,MATCH(2,B4:B29,0),4)</f>
        <v>-6</v>
      </c>
      <c r="G5" s="42">
        <f>INDEX('4długot.'!B3:G28,MATCH(2,B4:B29,0),5)</f>
        <v>543</v>
      </c>
      <c r="H5" s="6">
        <f>INDEX('4długot.'!B3:G28,MATCH(2,B4:B29,0),6)</f>
        <v>-11</v>
      </c>
    </row>
    <row r="6" spans="2:8" x14ac:dyDescent="0.2">
      <c r="B6" s="6">
        <f>RANK('4długot.'!C5,'4długot.'!$C$3:'4długot.'!$C$28,1)+COUNTIF('4długot.'!$C$3:'4długot.'!C5,'4długot.'!C5)-1</f>
        <v>7</v>
      </c>
      <c r="C6" s="5" t="str">
        <f>INDEX('4długot.'!B3:G28,MATCH(3,B4:B29,0),1)</f>
        <v xml:space="preserve">tarnobrzeski </v>
      </c>
      <c r="D6" s="6">
        <f>INDEX('4długot.'!B3:G28,MATCH(3,B4:B29,0),2)</f>
        <v>620</v>
      </c>
      <c r="E6" s="42">
        <f>INDEX('4długot.'!B3:G28,MATCH(3,B4:B29,0),3)</f>
        <v>607</v>
      </c>
      <c r="F6" s="6">
        <f>INDEX('4długot.'!B3:G28,MATCH(3,B4:B29,0),4)</f>
        <v>13</v>
      </c>
      <c r="G6" s="42">
        <f>INDEX('4długot.'!B3:G28,MATCH(3,B4:B29,0),5)</f>
        <v>615</v>
      </c>
      <c r="H6" s="6">
        <f>INDEX('4długot.'!B3:G28,MATCH(3,B4:B29,0),6)</f>
        <v>5</v>
      </c>
    </row>
    <row r="7" spans="2:8" x14ac:dyDescent="0.2">
      <c r="B7" s="6">
        <f>RANK('4długot.'!C6,'4długot.'!$C$3:'4długot.'!$C$28,1)+COUNTIF('4długot.'!$C$3:'4długot.'!C6,'4długot.'!C6)-1</f>
        <v>22</v>
      </c>
      <c r="C7" s="5" t="str">
        <f>INDEX('4długot.'!B3:G28,MATCH(4,B4:B29,0),1)</f>
        <v>bieszczadzki</v>
      </c>
      <c r="D7" s="6">
        <f>INDEX('4długot.'!B3:G28,MATCH(4,B4:B29,0),2)</f>
        <v>624</v>
      </c>
      <c r="E7" s="42">
        <f>INDEX('4długot.'!B3:G28,MATCH(4,B4:B29,0),3)</f>
        <v>614</v>
      </c>
      <c r="F7" s="6">
        <f>INDEX('4długot.'!B3:G28,MATCH(4,B4:B29,0),4)</f>
        <v>10</v>
      </c>
      <c r="G7" s="42">
        <f>INDEX('4długot.'!B3:G28,MATCH(4,B4:B29,0),5)</f>
        <v>617</v>
      </c>
      <c r="H7" s="6">
        <f>INDEX('4długot.'!B3:G28,MATCH(4,B4:B29,0),6)</f>
        <v>7</v>
      </c>
    </row>
    <row r="8" spans="2:8" x14ac:dyDescent="0.2">
      <c r="B8" s="6">
        <f>RANK('4długot.'!C7,'4długot.'!$C$3:'4długot.'!$C$28,1)+COUNTIF('4długot.'!$C$3:'4długot.'!C7,'4długot.'!C7)-1</f>
        <v>25</v>
      </c>
      <c r="C8" s="5" t="str">
        <f>INDEX('4długot.'!B3:G28,MATCH(5,B4:B29,0),1)</f>
        <v>kolbuszowski</v>
      </c>
      <c r="D8" s="6">
        <f>INDEX('4długot.'!B3:G28,MATCH(5,B4:B29,0),2)</f>
        <v>758</v>
      </c>
      <c r="E8" s="42">
        <f>INDEX('4długot.'!B3:G28,MATCH(5,B4:B29,0),3)</f>
        <v>755</v>
      </c>
      <c r="F8" s="6">
        <f>INDEX('4długot.'!B3:G28,MATCH(5,B4:B29,0),4)</f>
        <v>3</v>
      </c>
      <c r="G8" s="42">
        <f>INDEX('4długot.'!B3:G28,MATCH(5,B4:B29,0),5)</f>
        <v>713</v>
      </c>
      <c r="H8" s="6">
        <f>INDEX('4długot.'!B3:G28,MATCH(5,B4:B29,0),6)</f>
        <v>45</v>
      </c>
    </row>
    <row r="9" spans="2:8" x14ac:dyDescent="0.2">
      <c r="B9" s="6">
        <f>RANK('4długot.'!C8,'4długot.'!$C$3:'4długot.'!$C$28,1)+COUNTIF('4długot.'!$C$3:'4długot.'!C8,'4długot.'!C8)-1</f>
        <v>5</v>
      </c>
      <c r="C9" s="5" t="str">
        <f>INDEX('4długot.'!B3:G28,MATCH(6,B4:B29,0),1)</f>
        <v>lubaczowski</v>
      </c>
      <c r="D9" s="6">
        <f>INDEX('4długot.'!B3:G28,MATCH(6,B4:B29,0),2)</f>
        <v>829</v>
      </c>
      <c r="E9" s="42">
        <f>INDEX('4długot.'!B3:G28,MATCH(6,B4:B29,0),3)</f>
        <v>820</v>
      </c>
      <c r="F9" s="6">
        <f>INDEX('4długot.'!B3:G28,MATCH(6,B4:B29,0),4)</f>
        <v>9</v>
      </c>
      <c r="G9" s="42">
        <f>INDEX('4długot.'!B3:G28,MATCH(6,B4:B29,0),5)</f>
        <v>823</v>
      </c>
      <c r="H9" s="6">
        <f>INDEX('4długot.'!B3:G28,MATCH(6,B4:B29,0),6)</f>
        <v>6</v>
      </c>
    </row>
    <row r="10" spans="2:8" x14ac:dyDescent="0.2">
      <c r="B10" s="6">
        <f>RANK('4długot.'!C9,'4długot.'!$C$3:'4długot.'!$C$28,1)+COUNTIF('4długot.'!$C$3:'4długot.'!C9,'4długot.'!C9)-1</f>
        <v>10</v>
      </c>
      <c r="C10" s="9" t="str">
        <f>INDEX('4długot.'!B3:G28,MATCH(7,B4:B29,0),1)</f>
        <v>dębicki</v>
      </c>
      <c r="D10" s="6">
        <f>INDEX('4długot.'!B3:G28,MATCH(7,B4:B29,0),2)</f>
        <v>913</v>
      </c>
      <c r="E10" s="42">
        <f>INDEX('4długot.'!B3:G28,MATCH(7,B4:B29,0),3)</f>
        <v>918</v>
      </c>
      <c r="F10" s="6">
        <f>INDEX('4długot.'!B3:G28,MATCH(7,B4:B29,0),4)</f>
        <v>-5</v>
      </c>
      <c r="G10" s="42">
        <f>INDEX('4długot.'!B3:G28,MATCH(7,B4:B29,0),5)</f>
        <v>954</v>
      </c>
      <c r="H10" s="6">
        <f>INDEX('4długot.'!B3:G28,MATCH(7,B4:B29,0),6)</f>
        <v>-41</v>
      </c>
    </row>
    <row r="11" spans="2:8" x14ac:dyDescent="0.2">
      <c r="B11" s="6">
        <f>RANK('4długot.'!C10,'4długot.'!$C$3:'4długot.'!$C$28,1)+COUNTIF('4długot.'!$C$3:'4długot.'!C10,'4długot.'!C10)-1</f>
        <v>9</v>
      </c>
      <c r="C11" s="5" t="str">
        <f>INDEX('4długot.'!B3:G28,MATCH(8,B4:B29,0),1)</f>
        <v>stalowowolski</v>
      </c>
      <c r="D11" s="6">
        <f>INDEX('4długot.'!B3:G28,MATCH(8,B4:B29,0),2)</f>
        <v>946</v>
      </c>
      <c r="E11" s="42">
        <f>INDEX('4długot.'!B3:G28,MATCH(8,B4:B29,0),3)</f>
        <v>931</v>
      </c>
      <c r="F11" s="6">
        <f>INDEX('4długot.'!B3:G28,MATCH(8,B4:B29,0),4)</f>
        <v>15</v>
      </c>
      <c r="G11" s="42">
        <f>INDEX('4długot.'!B3:G28,MATCH(8,B4:B29,0),5)</f>
        <v>769</v>
      </c>
      <c r="H11" s="6">
        <f>INDEX('4długot.'!B3:G28,MATCH(8,B4:B29,0),6)</f>
        <v>177</v>
      </c>
    </row>
    <row r="12" spans="2:8" x14ac:dyDescent="0.2">
      <c r="B12" s="6">
        <f>RANK('4długot.'!C11,'4długot.'!$C$3:'4długot.'!$C$28,1)+COUNTIF('4długot.'!$C$3:'4długot.'!C11,'4długot.'!C11)-1</f>
        <v>18</v>
      </c>
      <c r="C12" s="5" t="str">
        <f>INDEX('4długot.'!B3:G28,MATCH(9,B4:B29,0),1)</f>
        <v>leski</v>
      </c>
      <c r="D12" s="6">
        <f>INDEX('4długot.'!B3:G28,MATCH(9,B4:B29,0),2)</f>
        <v>996</v>
      </c>
      <c r="E12" s="42">
        <f>INDEX('4długot.'!B3:G28,MATCH(9,B4:B29,0),3)</f>
        <v>1004</v>
      </c>
      <c r="F12" s="6">
        <f>INDEX('4długot.'!B3:G28,MATCH(9,B4:B29,0),4)</f>
        <v>-8</v>
      </c>
      <c r="G12" s="42">
        <f>INDEX('4długot.'!B3:G28,MATCH(9,B4:B29,0),5)</f>
        <v>1027</v>
      </c>
      <c r="H12" s="6">
        <f>INDEX('4długot.'!B3:G28,MATCH(9,B4:B29,0),6)</f>
        <v>-31</v>
      </c>
    </row>
    <row r="13" spans="2:8" x14ac:dyDescent="0.2">
      <c r="B13" s="6">
        <f>RANK('4długot.'!C12,'4długot.'!$C$3:'4długot.'!$C$28,1)+COUNTIF('4długot.'!$C$3:'4długot.'!C12,'4długot.'!C12)-1</f>
        <v>6</v>
      </c>
      <c r="C13" s="5" t="str">
        <f>INDEX('4długot.'!B3:G28,MATCH(10,B4:B29,0),1)</f>
        <v>krośnieński</v>
      </c>
      <c r="D13" s="6">
        <f>INDEX('4długot.'!B3:G28,MATCH(10,B4:B29,0),2)</f>
        <v>1070</v>
      </c>
      <c r="E13" s="42">
        <f>INDEX('4długot.'!B3:G28,MATCH(10,B4:B29,0),3)</f>
        <v>1063</v>
      </c>
      <c r="F13" s="6">
        <f>INDEX('4długot.'!B3:G28,MATCH(10,B4:B29,0),4)</f>
        <v>7</v>
      </c>
      <c r="G13" s="42">
        <f>INDEX('4długot.'!B3:G28,MATCH(10,B4:B29,0),5)</f>
        <v>973</v>
      </c>
      <c r="H13" s="6">
        <f>INDEX('4długot.'!B3:G28,MATCH(10,B4:B29,0),6)</f>
        <v>97</v>
      </c>
    </row>
    <row r="14" spans="2:8" x14ac:dyDescent="0.2">
      <c r="B14" s="6">
        <f>RANK('4długot.'!C13,'4długot.'!$C$3:'4długot.'!$C$28,1)+COUNTIF('4długot.'!$C$3:'4długot.'!C13,'4długot.'!C13)-1</f>
        <v>11</v>
      </c>
      <c r="C14" s="5" t="str">
        <f>INDEX('4długot.'!B3:G28,MATCH(11,B4:B29,0),1)</f>
        <v>łańcucki</v>
      </c>
      <c r="D14" s="6">
        <f>INDEX('4długot.'!B3:G28,MATCH(11,B4:B29,0),2)</f>
        <v>1133</v>
      </c>
      <c r="E14" s="42">
        <f>INDEX('4długot.'!B3:G28,MATCH(11,B4:B29,0),3)</f>
        <v>1145</v>
      </c>
      <c r="F14" s="6">
        <f>INDEX('4długot.'!B3:G28,MATCH(11,B4:B29,0),4)</f>
        <v>-12</v>
      </c>
      <c r="G14" s="42">
        <f>INDEX('4długot.'!B3:G28,MATCH(11,B4:B29,0),5)</f>
        <v>1194</v>
      </c>
      <c r="H14" s="6">
        <f>INDEX('4długot.'!B3:G28,MATCH(11,B4:B29,0),6)</f>
        <v>-61</v>
      </c>
    </row>
    <row r="15" spans="2:8" x14ac:dyDescent="0.2">
      <c r="B15" s="6">
        <f>RANK('4długot.'!C14,'4długot.'!$C$3:'4długot.'!$C$28,1)+COUNTIF('4długot.'!$C$3:'4długot.'!C14,'4długot.'!C14)-1</f>
        <v>14</v>
      </c>
      <c r="C15" s="5" t="str">
        <f>INDEX('4długot.'!B3:G28,MATCH(12,B4:B29,0),1)</f>
        <v>ropczycko-sędziszowski</v>
      </c>
      <c r="D15" s="6">
        <f>INDEX('4długot.'!B3:G28,MATCH(12,B4:B29,0),2)</f>
        <v>1417</v>
      </c>
      <c r="E15" s="42">
        <f>INDEX('4długot.'!B3:G28,MATCH(12,B4:B29,0),3)</f>
        <v>1423</v>
      </c>
      <c r="F15" s="6">
        <f>INDEX('4długot.'!B3:G28,MATCH(12,B4:B29,0),4)</f>
        <v>-6</v>
      </c>
      <c r="G15" s="42">
        <f>INDEX('4długot.'!B3:G28,MATCH(12,B4:B29,0),5)</f>
        <v>1298</v>
      </c>
      <c r="H15" s="6">
        <f>INDEX('4długot.'!B3:G28,MATCH(12,B4:B29,0),6)</f>
        <v>119</v>
      </c>
    </row>
    <row r="16" spans="2:8" x14ac:dyDescent="0.2">
      <c r="B16" s="6">
        <f>RANK('4długot.'!C15,'4długot.'!$C$3:'4długot.'!$C$28,1)+COUNTIF('4długot.'!$C$3:'4długot.'!C15,'4długot.'!C15)-1</f>
        <v>17</v>
      </c>
      <c r="C16" s="5" t="str">
        <f>INDEX('4długot.'!B3:G28,MATCH(13,B4:B29,0),1)</f>
        <v>Przemyśl</v>
      </c>
      <c r="D16" s="6">
        <f>INDEX('4długot.'!B3:G28,MATCH(13,B4:B29,0),2)</f>
        <v>1450</v>
      </c>
      <c r="E16" s="42">
        <f>INDEX('4długot.'!B3:G28,MATCH(13,B4:B29,0),3)</f>
        <v>1441</v>
      </c>
      <c r="F16" s="6">
        <f>INDEX('4długot.'!B3:G28,MATCH(13,B4:B29,0),4)</f>
        <v>9</v>
      </c>
      <c r="G16" s="42">
        <f>INDEX('4długot.'!B3:G28,MATCH(13,B4:B29,0),5)</f>
        <v>1448</v>
      </c>
      <c r="H16" s="6">
        <f>INDEX('4długot.'!B3:G28,MATCH(13,B4:B29,0),6)</f>
        <v>2</v>
      </c>
    </row>
    <row r="17" spans="2:8" x14ac:dyDescent="0.2">
      <c r="B17" s="6">
        <f>RANK('4długot.'!C16,'4długot.'!$C$3:'4długot.'!$C$28,1)+COUNTIF('4długot.'!$C$3:'4długot.'!C16,'4długot.'!C16)-1</f>
        <v>16</v>
      </c>
      <c r="C17" s="5" t="str">
        <f>INDEX('4długot.'!B3:G28,MATCH(14,B4:B29,0),1)</f>
        <v>mielecki</v>
      </c>
      <c r="D17" s="6">
        <f>INDEX('4długot.'!B3:G28,MATCH(14,B4:B29,0),2)</f>
        <v>1538</v>
      </c>
      <c r="E17" s="42">
        <f>INDEX('4długot.'!B3:G28,MATCH(14,B4:B29,0),3)</f>
        <v>1513</v>
      </c>
      <c r="F17" s="6">
        <f>INDEX('4długot.'!B3:G28,MATCH(14,B4:B29,0),4)</f>
        <v>25</v>
      </c>
      <c r="G17" s="42">
        <f>INDEX('4długot.'!B3:G28,MATCH(14,B4:B29,0),5)</f>
        <v>1385</v>
      </c>
      <c r="H17" s="6">
        <f>INDEX('4długot.'!B3:G28,MATCH(14,B4:B29,0),6)</f>
        <v>153</v>
      </c>
    </row>
    <row r="18" spans="2:8" x14ac:dyDescent="0.2">
      <c r="B18" s="6">
        <f>RANK('4długot.'!C17,'4długot.'!$C$3:'4długot.'!$C$28,1)+COUNTIF('4długot.'!$C$3:'4długot.'!C17,'4długot.'!C17)-1</f>
        <v>20</v>
      </c>
      <c r="C18" s="5" t="str">
        <f>INDEX('4długot.'!B3:G28,MATCH(15,B4:B29,0),1)</f>
        <v>sanocki</v>
      </c>
      <c r="D18" s="6">
        <f>INDEX('4długot.'!B3:G28,MATCH(15,B4:B29,0),2)</f>
        <v>1547</v>
      </c>
      <c r="E18" s="42">
        <f>INDEX('4długot.'!B3:G28,MATCH(15,B4:B29,0),3)</f>
        <v>1541</v>
      </c>
      <c r="F18" s="6">
        <f>INDEX('4długot.'!B3:G28,MATCH(15,B4:B29,0),4)</f>
        <v>6</v>
      </c>
      <c r="G18" s="42">
        <f>INDEX('4długot.'!B3:G28,MATCH(15,B4:B29,0),5)</f>
        <v>1440</v>
      </c>
      <c r="H18" s="6">
        <f>INDEX('4długot.'!B3:G28,MATCH(15,B4:B29,0),6)</f>
        <v>107</v>
      </c>
    </row>
    <row r="19" spans="2:8" x14ac:dyDescent="0.2">
      <c r="B19" s="6">
        <f>RANK('4długot.'!C18,'4długot.'!$C$3:'4długot.'!$C$28,1)+COUNTIF('4długot.'!$C$3:'4długot.'!C18,'4długot.'!C18)-1</f>
        <v>12</v>
      </c>
      <c r="C19" s="5" t="str">
        <f>INDEX('4długot.'!B3:G28,MATCH(16,B4:B29,0),1)</f>
        <v>przemyski</v>
      </c>
      <c r="D19" s="6">
        <f>INDEX('4długot.'!B3:G28,MATCH(16,B4:B29,0),2)</f>
        <v>1651</v>
      </c>
      <c r="E19" s="42">
        <f>INDEX('4długot.'!B3:G28,MATCH(16,B4:B29,0),3)</f>
        <v>1629</v>
      </c>
      <c r="F19" s="6">
        <f>INDEX('4długot.'!B3:G28,MATCH(16,B4:B29,0),4)</f>
        <v>22</v>
      </c>
      <c r="G19" s="42">
        <f>INDEX('4długot.'!B3:G28,MATCH(16,B4:B29,0),5)</f>
        <v>1620</v>
      </c>
      <c r="H19" s="6">
        <f>INDEX('4długot.'!B3:G28,MATCH(16,B4:B29,0),6)</f>
        <v>31</v>
      </c>
    </row>
    <row r="20" spans="2:8" x14ac:dyDescent="0.2">
      <c r="B20" s="6">
        <f>RANK('4długot.'!C19,'4długot.'!$C$3:'4długot.'!$C$28,1)+COUNTIF('4długot.'!$C$3:'4długot.'!C19,'4długot.'!C19)-1</f>
        <v>23</v>
      </c>
      <c r="C20" s="5" t="str">
        <f>INDEX('4długot.'!B3:G28,MATCH(17,B4:B29,0),1)</f>
        <v>niżański</v>
      </c>
      <c r="D20" s="6">
        <f>INDEX('4długot.'!B3:G28,MATCH(17,B4:B29,0),2)</f>
        <v>1677</v>
      </c>
      <c r="E20" s="42">
        <f>INDEX('4długot.'!B3:G28,MATCH(17,B4:B29,0),3)</f>
        <v>1639</v>
      </c>
      <c r="F20" s="6">
        <f>INDEX('4długot.'!B3:G28,MATCH(17,B4:B29,0),4)</f>
        <v>38</v>
      </c>
      <c r="G20" s="42">
        <f>INDEX('4długot.'!B3:G28,MATCH(17,B4:B29,0),5)</f>
        <v>1594</v>
      </c>
      <c r="H20" s="6">
        <f>INDEX('4długot.'!B3:G28,MATCH(17,B4:B29,0),6)</f>
        <v>83</v>
      </c>
    </row>
    <row r="21" spans="2:8" x14ac:dyDescent="0.2">
      <c r="B21" s="6">
        <f>RANK('4długot.'!C20,'4długot.'!$C$3:'4długot.'!$C$28,1)+COUNTIF('4długot.'!$C$3:'4długot.'!C20,'4długot.'!C20)-1</f>
        <v>15</v>
      </c>
      <c r="C21" s="5" t="str">
        <f>INDEX('4długot.'!B3:G28,MATCH(18,B4:B29,0),1)</f>
        <v>leżajski</v>
      </c>
      <c r="D21" s="6">
        <f>INDEX('4długot.'!B3:G28,MATCH(18,B4:B29,0),2)</f>
        <v>1685</v>
      </c>
      <c r="E21" s="42">
        <f>INDEX('4długot.'!B3:G28,MATCH(18,B4:B29,0),3)</f>
        <v>1665</v>
      </c>
      <c r="F21" s="6">
        <f>INDEX('4długot.'!B3:G28,MATCH(18,B4:B29,0),4)</f>
        <v>20</v>
      </c>
      <c r="G21" s="42">
        <f>INDEX('4długot.'!B3:G28,MATCH(18,B4:B29,0),5)</f>
        <v>1641</v>
      </c>
      <c r="H21" s="6">
        <f>INDEX('4długot.'!B3:G28,MATCH(18,B4:B29,0),6)</f>
        <v>44</v>
      </c>
    </row>
    <row r="22" spans="2:8" x14ac:dyDescent="0.2">
      <c r="B22" s="6">
        <f>RANK('4długot.'!C21,'4długot.'!$C$3:'4długot.'!$C$28,1)+COUNTIF('4długot.'!$C$3:'4długot.'!C21,'4długot.'!C21)-1</f>
        <v>8</v>
      </c>
      <c r="C22" s="5" t="str">
        <f>INDEX('4długot.'!B3:G28,MATCH(19,B4:B29,0),1)</f>
        <v>strzyżowski</v>
      </c>
      <c r="D22" s="6">
        <f>INDEX('4długot.'!B3:G28,MATCH(19,B4:B29,0),2)</f>
        <v>1843</v>
      </c>
      <c r="E22" s="42">
        <f>INDEX('4długot.'!B3:G28,MATCH(19,B4:B29,0),3)</f>
        <v>1830</v>
      </c>
      <c r="F22" s="6">
        <f>INDEX('4długot.'!B3:G28,MATCH(19,B4:B29,0),4)</f>
        <v>13</v>
      </c>
      <c r="G22" s="42">
        <f>INDEX('4długot.'!B3:G28,MATCH(19,B4:B29,0),5)</f>
        <v>1868</v>
      </c>
      <c r="H22" s="6">
        <f>INDEX('4długot.'!B3:G28,MATCH(19,B4:B29,0),6)</f>
        <v>-25</v>
      </c>
    </row>
    <row r="23" spans="2:8" x14ac:dyDescent="0.2">
      <c r="B23" s="6">
        <f>RANK('4długot.'!C22,'4długot.'!$C$3:'4długot.'!$C$28,1)+COUNTIF('4długot.'!$C$3:'4długot.'!C22,'4długot.'!C22)-1</f>
        <v>19</v>
      </c>
      <c r="C23" s="5" t="str">
        <f>INDEX('4długot.'!B3:G28,MATCH(20,B4:B29,0),1)</f>
        <v>przeworski</v>
      </c>
      <c r="D23" s="6">
        <f>INDEX('4długot.'!B3:G28,MATCH(20,B4:B29,0),2)</f>
        <v>1908</v>
      </c>
      <c r="E23" s="42">
        <f>INDEX('4długot.'!B3:G28,MATCH(20,B4:B29,0),3)</f>
        <v>1922</v>
      </c>
      <c r="F23" s="6">
        <f>INDEX('4długot.'!B3:G28,MATCH(20,B4:B29,0),4)</f>
        <v>-14</v>
      </c>
      <c r="G23" s="42">
        <f>INDEX('4długot.'!B3:G28,MATCH(20,B4:B29,0),5)</f>
        <v>1899</v>
      </c>
      <c r="H23" s="6">
        <f>INDEX('4długot.'!B3:G28,MATCH(20,B4:B29,0),6)</f>
        <v>9</v>
      </c>
    </row>
    <row r="24" spans="2:8" x14ac:dyDescent="0.2">
      <c r="B24" s="6">
        <f>RANK('4długot.'!C23,'4długot.'!$C$3:'4długot.'!$C$28,1)+COUNTIF('4długot.'!$C$3:'4długot.'!C23,'4długot.'!C23)-1</f>
        <v>3</v>
      </c>
      <c r="C24" s="5" t="str">
        <f>INDEX('4długot.'!B3:G28,MATCH(21,B4:B29,0),1)</f>
        <v>brzozowski</v>
      </c>
      <c r="D24" s="6">
        <f>INDEX('4długot.'!B3:G28,MATCH(21,B4:B29,0),2)</f>
        <v>2268</v>
      </c>
      <c r="E24" s="42">
        <f>INDEX('4długot.'!B3:G28,MATCH(21,B4:B29,0),3)</f>
        <v>2280</v>
      </c>
      <c r="F24" s="6">
        <f>INDEX('4długot.'!B3:G28,MATCH(21,B4:B29,0),4)</f>
        <v>-12</v>
      </c>
      <c r="G24" s="42">
        <f>INDEX('4długot.'!B3:G28,MATCH(21,B4:B29,0),5)</f>
        <v>2314</v>
      </c>
      <c r="H24" s="6">
        <f>INDEX('4długot.'!B3:G28,MATCH(21,B4:B29,0),6)</f>
        <v>-46</v>
      </c>
    </row>
    <row r="25" spans="2:8" x14ac:dyDescent="0.2">
      <c r="B25" s="6">
        <f>RANK('4długot.'!C24,'4długot.'!$C$3:'4długot.'!$C$28,1)+COUNTIF('4długot.'!$C$3:'4długot.'!C24,'4długot.'!C24)-1</f>
        <v>1</v>
      </c>
      <c r="C25" s="5" t="str">
        <f>INDEX('4długot.'!B3:G28,MATCH(22,B4:B29,0),1)</f>
        <v>jarosławski</v>
      </c>
      <c r="D25" s="6">
        <f>INDEX('4długot.'!B3:G28,MATCH(22,B4:B29,0),2)</f>
        <v>2454</v>
      </c>
      <c r="E25" s="42">
        <f>INDEX('4długot.'!B3:G28,MATCH(22,B4:B29,0),3)</f>
        <v>2438</v>
      </c>
      <c r="F25" s="6">
        <f>INDEX('4długot.'!B3:G28,MATCH(22,B4:B29,0),4)</f>
        <v>16</v>
      </c>
      <c r="G25" s="42">
        <f>INDEX('4długot.'!B3:G28,MATCH(22,B4:B29,0),5)</f>
        <v>2442</v>
      </c>
      <c r="H25" s="6">
        <f>INDEX('4długot.'!B3:G28,MATCH(22,B4:B29,0),6)</f>
        <v>12</v>
      </c>
    </row>
    <row r="26" spans="2:8" x14ac:dyDescent="0.2">
      <c r="B26" s="6">
        <f>RANK('4długot.'!C25,'4długot.'!$C$3:'4długot.'!$C$28,1)+COUNTIF('4długot.'!$C$3:'4długot.'!C25,'4długot.'!C25)-1</f>
        <v>13</v>
      </c>
      <c r="C26" s="5" t="str">
        <f>INDEX('4długot.'!B3:G28,MATCH(23,B4:B29,0),1)</f>
        <v>rzeszowski</v>
      </c>
      <c r="D26" s="6">
        <f>INDEX('4długot.'!B3:G28,MATCH(23,B4:B29,0),2)</f>
        <v>2561</v>
      </c>
      <c r="E26" s="42">
        <f>INDEX('4długot.'!B3:G28,MATCH(23,B4:B29,0),3)</f>
        <v>2540</v>
      </c>
      <c r="F26" s="6">
        <f>INDEX('4długot.'!B3:G28,MATCH(23,B4:B29,0),4)</f>
        <v>21</v>
      </c>
      <c r="G26" s="42">
        <f>INDEX('4długot.'!B3:G28,MATCH(23,B4:B29,0),5)</f>
        <v>2506</v>
      </c>
      <c r="H26" s="6">
        <f>INDEX('4długot.'!B3:G28,MATCH(23,B4:B29,0),6)</f>
        <v>55</v>
      </c>
    </row>
    <row r="27" spans="2:8" x14ac:dyDescent="0.2">
      <c r="B27" s="6">
        <f>RANK('4długot.'!C26,'4długot.'!$C$3:'4długot.'!$C$28,1)+COUNTIF('4długot.'!$C$3:'4długot.'!C26,'4długot.'!C26)-1</f>
        <v>24</v>
      </c>
      <c r="C27" s="5" t="str">
        <f>INDEX('4długot.'!B3:G28,MATCH(24,B4:B29,0),1)</f>
        <v>Rzeszów</v>
      </c>
      <c r="D27" s="6">
        <f>INDEX('4długot.'!B3:G28,MATCH(24,B4:B29,0),2)</f>
        <v>2884</v>
      </c>
      <c r="E27" s="42">
        <f>INDEX('4długot.'!B3:G28,MATCH(24,B4:B29,0),3)</f>
        <v>2869</v>
      </c>
      <c r="F27" s="6">
        <f>INDEX('4długot.'!B3:G28,MATCH(24,B4:B29,0),4)</f>
        <v>15</v>
      </c>
      <c r="G27" s="42">
        <f>INDEX('4długot.'!B3:G28,MATCH(24,B4:B29,0),5)</f>
        <v>2975</v>
      </c>
      <c r="H27" s="6">
        <f>INDEX('4długot.'!B3:G28,MATCH(24,B4:B29,0),6)</f>
        <v>-91</v>
      </c>
    </row>
    <row r="28" spans="2:8" x14ac:dyDescent="0.2">
      <c r="B28" s="6">
        <f>RANK('4długot.'!C27,'4długot.'!$C$3:'4długot.'!$C$28,1)+COUNTIF('4długot.'!$C$3:'4długot.'!C27,'4długot.'!C27)-1</f>
        <v>2</v>
      </c>
      <c r="C28" s="5" t="str">
        <f>INDEX('4długot.'!B3:G28,MATCH(25,B4:B29,0),1)</f>
        <v>jasielski</v>
      </c>
      <c r="D28" s="6">
        <f>INDEX('4długot.'!B3:G28,MATCH(25,B4:B29,0),2)</f>
        <v>2904</v>
      </c>
      <c r="E28" s="42">
        <f>INDEX('4długot.'!B3:G28,MATCH(25,B4:B29,0),3)</f>
        <v>2870</v>
      </c>
      <c r="F28" s="6">
        <f>INDEX('4długot.'!B3:G28,MATCH(25,B4:B29,0),4)</f>
        <v>34</v>
      </c>
      <c r="G28" s="42">
        <f>INDEX('4długot.'!B3:G28,MATCH(25,B4:B29,0),5)</f>
        <v>2922</v>
      </c>
      <c r="H28" s="6">
        <f>INDEX('4długot.'!B3:G28,MATCH(25,B4:B29,0),6)</f>
        <v>-18</v>
      </c>
    </row>
    <row r="29" spans="2:8" ht="15" x14ac:dyDescent="0.25">
      <c r="B29" s="40">
        <f>RANK('4długot.'!C28,'4długot.'!$C$3:'4długot.'!$C$28,1)+COUNTIF('4długot.'!$C$3:'4długot.'!C28,'4długot.'!C28)-1</f>
        <v>26</v>
      </c>
      <c r="C29" s="39" t="str">
        <f>INDEX('4długot.'!B3:G28,MATCH(26,B4:B29,0),1)</f>
        <v>województwo</v>
      </c>
      <c r="D29" s="40">
        <f>INDEX('4długot.'!B3:G28,MATCH(26,B4:B29,0),2)</f>
        <v>36561</v>
      </c>
      <c r="E29" s="44">
        <f>INDEX('4długot.'!B3:G28,MATCH(26,B4:B29,0),3)</f>
        <v>36351</v>
      </c>
      <c r="F29" s="40">
        <f>INDEX('4długot.'!B3:G28,MATCH(26,B4:B29,0),4)</f>
        <v>210</v>
      </c>
      <c r="G29" s="44">
        <f>INDEX('4długot.'!B3:G28,MATCH(26,B4:B29,0),5)</f>
        <v>35900</v>
      </c>
      <c r="H29" s="40">
        <f>INDEX('4długot.'!B3:G28,MATCH(26,B4:B29,0),6)</f>
        <v>661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48</v>
      </c>
      <c r="C1" s="27"/>
      <c r="D1" s="27"/>
      <c r="E1" s="27"/>
      <c r="F1" s="27"/>
      <c r="G1" s="27"/>
    </row>
    <row r="2" spans="2:8" ht="57.75" x14ac:dyDescent="0.2">
      <c r="B2" s="36" t="s">
        <v>27</v>
      </c>
      <c r="C2" s="37" t="s">
        <v>90</v>
      </c>
      <c r="D2" s="38" t="s">
        <v>89</v>
      </c>
      <c r="E2" s="37" t="s">
        <v>28</v>
      </c>
      <c r="F2" s="38" t="s">
        <v>91</v>
      </c>
      <c r="G2" s="37" t="s">
        <v>26</v>
      </c>
    </row>
    <row r="3" spans="2:8" x14ac:dyDescent="0.2">
      <c r="B3" s="5" t="s">
        <v>0</v>
      </c>
      <c r="C3" s="28">
        <v>240</v>
      </c>
      <c r="D3" s="42">
        <v>249</v>
      </c>
      <c r="E3" s="28">
        <f t="shared" ref="E3:E27" si="0">SUM(C3)-D3</f>
        <v>-9</v>
      </c>
      <c r="F3" s="42">
        <v>267</v>
      </c>
      <c r="G3" s="28">
        <f t="shared" ref="G3:G27" si="1">SUM(C3)-F3</f>
        <v>-27</v>
      </c>
      <c r="H3" s="7"/>
    </row>
    <row r="4" spans="2:8" x14ac:dyDescent="0.2">
      <c r="B4" s="5" t="s">
        <v>1</v>
      </c>
      <c r="C4" s="28">
        <v>893</v>
      </c>
      <c r="D4" s="42">
        <v>924</v>
      </c>
      <c r="E4" s="28">
        <f t="shared" si="0"/>
        <v>-31</v>
      </c>
      <c r="F4" s="42">
        <v>856</v>
      </c>
      <c r="G4" s="28">
        <f t="shared" si="1"/>
        <v>37</v>
      </c>
      <c r="H4" s="7"/>
    </row>
    <row r="5" spans="2:8" x14ac:dyDescent="0.2">
      <c r="B5" s="5" t="s">
        <v>2</v>
      </c>
      <c r="C5" s="28">
        <v>673</v>
      </c>
      <c r="D5" s="42">
        <v>656</v>
      </c>
      <c r="E5" s="28">
        <f t="shared" si="0"/>
        <v>17</v>
      </c>
      <c r="F5" s="42">
        <v>652</v>
      </c>
      <c r="G5" s="28">
        <f t="shared" si="1"/>
        <v>21</v>
      </c>
      <c r="H5" s="7"/>
    </row>
    <row r="6" spans="2:8" x14ac:dyDescent="0.2">
      <c r="B6" s="5" t="s">
        <v>3</v>
      </c>
      <c r="C6" s="28">
        <v>1088</v>
      </c>
      <c r="D6" s="42">
        <v>1103</v>
      </c>
      <c r="E6" s="28">
        <f t="shared" si="0"/>
        <v>-15</v>
      </c>
      <c r="F6" s="42">
        <v>1044</v>
      </c>
      <c r="G6" s="28">
        <f t="shared" si="1"/>
        <v>44</v>
      </c>
      <c r="H6" s="7"/>
    </row>
    <row r="7" spans="2:8" x14ac:dyDescent="0.2">
      <c r="B7" s="5" t="s">
        <v>4</v>
      </c>
      <c r="C7" s="28">
        <v>1134</v>
      </c>
      <c r="D7" s="42">
        <v>1150</v>
      </c>
      <c r="E7" s="28">
        <f t="shared" si="0"/>
        <v>-16</v>
      </c>
      <c r="F7" s="42">
        <v>1151</v>
      </c>
      <c r="G7" s="28">
        <f t="shared" si="1"/>
        <v>-17</v>
      </c>
      <c r="H7" s="7"/>
    </row>
    <row r="8" spans="2:8" x14ac:dyDescent="0.2">
      <c r="B8" s="5" t="s">
        <v>5</v>
      </c>
      <c r="C8" s="28">
        <v>395</v>
      </c>
      <c r="D8" s="42">
        <v>388</v>
      </c>
      <c r="E8" s="28">
        <f t="shared" si="0"/>
        <v>7</v>
      </c>
      <c r="F8" s="42">
        <v>411</v>
      </c>
      <c r="G8" s="28">
        <f t="shared" si="1"/>
        <v>-16</v>
      </c>
      <c r="H8" s="7"/>
    </row>
    <row r="9" spans="2:8" x14ac:dyDescent="0.2">
      <c r="B9" s="9" t="s">
        <v>6</v>
      </c>
      <c r="C9" s="28">
        <v>587</v>
      </c>
      <c r="D9" s="42">
        <v>580</v>
      </c>
      <c r="E9" s="28">
        <f t="shared" si="0"/>
        <v>7</v>
      </c>
      <c r="F9" s="42">
        <v>527</v>
      </c>
      <c r="G9" s="28">
        <f t="shared" si="1"/>
        <v>60</v>
      </c>
      <c r="H9" s="7"/>
    </row>
    <row r="10" spans="2:8" x14ac:dyDescent="0.2">
      <c r="B10" s="5" t="s">
        <v>7</v>
      </c>
      <c r="C10" s="28">
        <v>388</v>
      </c>
      <c r="D10" s="42">
        <v>389</v>
      </c>
      <c r="E10" s="28">
        <f t="shared" si="0"/>
        <v>-1</v>
      </c>
      <c r="F10" s="42">
        <v>378</v>
      </c>
      <c r="G10" s="28">
        <f t="shared" si="1"/>
        <v>10</v>
      </c>
      <c r="H10" s="7"/>
    </row>
    <row r="11" spans="2:8" x14ac:dyDescent="0.2">
      <c r="B11" s="5" t="s">
        <v>8</v>
      </c>
      <c r="C11" s="28">
        <v>768</v>
      </c>
      <c r="D11" s="42">
        <v>757</v>
      </c>
      <c r="E11" s="28">
        <f t="shared" si="0"/>
        <v>11</v>
      </c>
      <c r="F11" s="42">
        <v>755</v>
      </c>
      <c r="G11" s="28">
        <f t="shared" si="1"/>
        <v>13</v>
      </c>
      <c r="H11" s="7"/>
    </row>
    <row r="12" spans="2:8" x14ac:dyDescent="0.2">
      <c r="B12" s="5" t="s">
        <v>9</v>
      </c>
      <c r="C12" s="28">
        <v>426</v>
      </c>
      <c r="D12" s="42">
        <v>415</v>
      </c>
      <c r="E12" s="28">
        <f t="shared" si="0"/>
        <v>11</v>
      </c>
      <c r="F12" s="42">
        <v>418</v>
      </c>
      <c r="G12" s="28">
        <f t="shared" si="1"/>
        <v>8</v>
      </c>
      <c r="H12" s="7"/>
    </row>
    <row r="13" spans="2:8" x14ac:dyDescent="0.2">
      <c r="B13" s="5" t="s">
        <v>10</v>
      </c>
      <c r="C13" s="28">
        <v>676</v>
      </c>
      <c r="D13" s="42">
        <v>689</v>
      </c>
      <c r="E13" s="28">
        <f t="shared" si="0"/>
        <v>-13</v>
      </c>
      <c r="F13" s="42">
        <v>718</v>
      </c>
      <c r="G13" s="28">
        <f t="shared" si="1"/>
        <v>-42</v>
      </c>
      <c r="H13" s="7"/>
    </row>
    <row r="14" spans="2:8" x14ac:dyDescent="0.2">
      <c r="B14" s="5" t="s">
        <v>11</v>
      </c>
      <c r="C14" s="28">
        <v>803</v>
      </c>
      <c r="D14" s="42">
        <v>762</v>
      </c>
      <c r="E14" s="28">
        <f t="shared" si="0"/>
        <v>41</v>
      </c>
      <c r="F14" s="42">
        <v>717</v>
      </c>
      <c r="G14" s="28">
        <f t="shared" si="1"/>
        <v>86</v>
      </c>
      <c r="H14" s="7"/>
    </row>
    <row r="15" spans="2:8" x14ac:dyDescent="0.2">
      <c r="B15" s="5" t="s">
        <v>12</v>
      </c>
      <c r="C15" s="28">
        <v>700</v>
      </c>
      <c r="D15" s="42">
        <v>714</v>
      </c>
      <c r="E15" s="28">
        <f t="shared" si="0"/>
        <v>-14</v>
      </c>
      <c r="F15" s="42">
        <v>709</v>
      </c>
      <c r="G15" s="28">
        <f t="shared" si="1"/>
        <v>-9</v>
      </c>
      <c r="H15" s="7"/>
    </row>
    <row r="16" spans="2:8" x14ac:dyDescent="0.2">
      <c r="B16" s="5" t="s">
        <v>13</v>
      </c>
      <c r="C16" s="28">
        <v>728</v>
      </c>
      <c r="D16" s="42">
        <v>737</v>
      </c>
      <c r="E16" s="28">
        <f t="shared" si="0"/>
        <v>-9</v>
      </c>
      <c r="F16" s="42">
        <v>729</v>
      </c>
      <c r="G16" s="28">
        <f t="shared" si="1"/>
        <v>-1</v>
      </c>
      <c r="H16" s="7"/>
    </row>
    <row r="17" spans="2:8" x14ac:dyDescent="0.2">
      <c r="B17" s="5" t="s">
        <v>14</v>
      </c>
      <c r="C17" s="28">
        <v>871</v>
      </c>
      <c r="D17" s="42">
        <v>868</v>
      </c>
      <c r="E17" s="28">
        <f t="shared" si="0"/>
        <v>3</v>
      </c>
      <c r="F17" s="42">
        <v>871</v>
      </c>
      <c r="G17" s="28">
        <f t="shared" si="1"/>
        <v>0</v>
      </c>
      <c r="H17" s="7"/>
    </row>
    <row r="18" spans="2:8" x14ac:dyDescent="0.2">
      <c r="B18" s="5" t="s">
        <v>15</v>
      </c>
      <c r="C18" s="28">
        <v>824</v>
      </c>
      <c r="D18" s="42">
        <v>808</v>
      </c>
      <c r="E18" s="28">
        <f t="shared" si="0"/>
        <v>16</v>
      </c>
      <c r="F18" s="42">
        <v>762</v>
      </c>
      <c r="G18" s="28">
        <f t="shared" si="1"/>
        <v>62</v>
      </c>
      <c r="H18" s="7"/>
    </row>
    <row r="19" spans="2:8" x14ac:dyDescent="0.2">
      <c r="B19" s="5" t="s">
        <v>16</v>
      </c>
      <c r="C19" s="28">
        <v>1223</v>
      </c>
      <c r="D19" s="42">
        <v>1216</v>
      </c>
      <c r="E19" s="28">
        <f t="shared" si="0"/>
        <v>7</v>
      </c>
      <c r="F19" s="42">
        <v>1161</v>
      </c>
      <c r="G19" s="28">
        <f t="shared" si="1"/>
        <v>62</v>
      </c>
      <c r="H19" s="7"/>
    </row>
    <row r="20" spans="2:8" x14ac:dyDescent="0.2">
      <c r="B20" s="5" t="s">
        <v>17</v>
      </c>
      <c r="C20" s="28">
        <v>732</v>
      </c>
      <c r="D20" s="42">
        <v>743</v>
      </c>
      <c r="E20" s="28">
        <f t="shared" si="0"/>
        <v>-11</v>
      </c>
      <c r="F20" s="42">
        <v>709</v>
      </c>
      <c r="G20" s="28">
        <f t="shared" si="1"/>
        <v>23</v>
      </c>
      <c r="H20" s="7"/>
    </row>
    <row r="21" spans="2:8" x14ac:dyDescent="0.2">
      <c r="B21" s="5" t="s">
        <v>18</v>
      </c>
      <c r="C21" s="28">
        <v>570</v>
      </c>
      <c r="D21" s="42">
        <v>565</v>
      </c>
      <c r="E21" s="28">
        <f t="shared" si="0"/>
        <v>5</v>
      </c>
      <c r="F21" s="42">
        <v>497</v>
      </c>
      <c r="G21" s="28">
        <f t="shared" si="1"/>
        <v>73</v>
      </c>
      <c r="H21" s="7"/>
    </row>
    <row r="22" spans="2:8" x14ac:dyDescent="0.2">
      <c r="B22" s="5" t="s">
        <v>19</v>
      </c>
      <c r="C22" s="28">
        <v>744</v>
      </c>
      <c r="D22" s="42">
        <v>748</v>
      </c>
      <c r="E22" s="28">
        <f t="shared" si="0"/>
        <v>-4</v>
      </c>
      <c r="F22" s="42">
        <v>813</v>
      </c>
      <c r="G22" s="28">
        <f t="shared" si="1"/>
        <v>-69</v>
      </c>
      <c r="H22" s="7"/>
    </row>
    <row r="23" spans="2:8" x14ac:dyDescent="0.2">
      <c r="B23" s="5" t="s">
        <v>20</v>
      </c>
      <c r="C23" s="28">
        <v>322</v>
      </c>
      <c r="D23" s="42">
        <v>314</v>
      </c>
      <c r="E23" s="28">
        <f t="shared" si="0"/>
        <v>8</v>
      </c>
      <c r="F23" s="42">
        <v>299</v>
      </c>
      <c r="G23" s="28">
        <f t="shared" si="1"/>
        <v>23</v>
      </c>
      <c r="H23" s="7"/>
    </row>
    <row r="24" spans="2:8" x14ac:dyDescent="0.2">
      <c r="B24" s="5" t="s">
        <v>21</v>
      </c>
      <c r="C24" s="28">
        <v>190</v>
      </c>
      <c r="D24" s="42">
        <v>185</v>
      </c>
      <c r="E24" s="28">
        <f t="shared" si="0"/>
        <v>5</v>
      </c>
      <c r="F24" s="42">
        <v>151</v>
      </c>
      <c r="G24" s="28">
        <f t="shared" si="1"/>
        <v>39</v>
      </c>
      <c r="H24" s="7"/>
    </row>
    <row r="25" spans="2:8" x14ac:dyDescent="0.2">
      <c r="B25" s="5" t="s">
        <v>22</v>
      </c>
      <c r="C25" s="28">
        <v>470</v>
      </c>
      <c r="D25" s="42">
        <v>456</v>
      </c>
      <c r="E25" s="28">
        <f t="shared" si="0"/>
        <v>14</v>
      </c>
      <c r="F25" s="42">
        <v>405</v>
      </c>
      <c r="G25" s="28">
        <f t="shared" si="1"/>
        <v>65</v>
      </c>
      <c r="H25" s="7"/>
    </row>
    <row r="26" spans="2:8" x14ac:dyDescent="0.2">
      <c r="B26" s="5" t="s">
        <v>23</v>
      </c>
      <c r="C26" s="28">
        <v>991</v>
      </c>
      <c r="D26" s="42">
        <v>953</v>
      </c>
      <c r="E26" s="28">
        <f t="shared" si="0"/>
        <v>38</v>
      </c>
      <c r="F26" s="42">
        <v>896</v>
      </c>
      <c r="G26" s="28">
        <f t="shared" si="1"/>
        <v>95</v>
      </c>
      <c r="H26" s="7"/>
    </row>
    <row r="27" spans="2:8" x14ac:dyDescent="0.2">
      <c r="B27" s="5" t="s">
        <v>24</v>
      </c>
      <c r="C27" s="28">
        <v>220</v>
      </c>
      <c r="D27" s="42">
        <v>203</v>
      </c>
      <c r="E27" s="28">
        <f t="shared" si="0"/>
        <v>17</v>
      </c>
      <c r="F27" s="42">
        <v>199</v>
      </c>
      <c r="G27" s="28">
        <f t="shared" si="1"/>
        <v>21</v>
      </c>
      <c r="H27" s="7"/>
    </row>
    <row r="28" spans="2:8" ht="15" x14ac:dyDescent="0.25">
      <c r="B28" s="39" t="s">
        <v>25</v>
      </c>
      <c r="C28" s="48">
        <f>SUM(C3:C27)</f>
        <v>16656</v>
      </c>
      <c r="D28" s="44">
        <f>SUM(D3:D27)</f>
        <v>16572</v>
      </c>
      <c r="E28" s="48">
        <f>SUM(E3:E27)</f>
        <v>84</v>
      </c>
      <c r="F28" s="44">
        <f>SUM(F3:F27)</f>
        <v>16095</v>
      </c>
      <c r="G28" s="48">
        <f>SUM(G3:G27)</f>
        <v>561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37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T('5do 30 r.ż.'!B2)</f>
        <v>powiaty</v>
      </c>
      <c r="D3" s="36" t="str">
        <f>T('5do 30 r.ż.'!C2)</f>
        <v>liczba bezrobotnych do 30 r. ż. stan na 30-06-'25 r.</v>
      </c>
      <c r="E3" s="36" t="str">
        <f>T('5do 30 r.ż.'!D2)</f>
        <v>liczba bezrobotnych do 30 r. ż. stan na 31-05-'25 r.</v>
      </c>
      <c r="F3" s="36" t="str">
        <f>T('5do 30 r.ż.'!E2)</f>
        <v>wzrost/spadek do poprzedniego  miesiąca</v>
      </c>
      <c r="G3" s="36" t="str">
        <f>T('5do 30 r.ż.'!F2)</f>
        <v>liczba bezrobotnych do 30 r. ż. stan na 30-06-'24 r.</v>
      </c>
      <c r="H3" s="36" t="str">
        <f>T('5do 30 r.ż.'!G2)</f>
        <v>wzrost/spadek do analogicznego okresu ubr.</v>
      </c>
    </row>
    <row r="4" spans="2:8" x14ac:dyDescent="0.2">
      <c r="B4" s="6">
        <f>RANK('5do 30 r.ż.'!C3,'5do 30 r.ż.'!$C$3:'5do 30 r.ż.'!$C$28,1)+COUNTIF('5do 30 r.ż.'!$C$3:'5do 30 r.ż.'!C3,'5do 30 r.ż.'!C3)-1</f>
        <v>3</v>
      </c>
      <c r="C4" s="5" t="str">
        <f>INDEX('5do 30 r.ż.'!B3:G28,MATCH(1,B4:B29,0),1)</f>
        <v>Krosno</v>
      </c>
      <c r="D4" s="24">
        <f>INDEX('5do 30 r.ż.'!B3:G28,MATCH(1,B4:B29,0),2)</f>
        <v>190</v>
      </c>
      <c r="E4" s="42">
        <f>INDEX('5do 30 r.ż.'!B3:G28,MATCH(1,B4:B29,0),3)</f>
        <v>185</v>
      </c>
      <c r="F4" s="6">
        <f>INDEX('5do 30 r.ż.'!B3:G28,MATCH(1,B4:B29,0),4)</f>
        <v>5</v>
      </c>
      <c r="G4" s="42">
        <f>INDEX('5do 30 r.ż.'!B3:G28,MATCH(1,B4:B29,0),5)</f>
        <v>151</v>
      </c>
      <c r="H4" s="6">
        <f>INDEX('5do 30 r.ż.'!B3:G28,MATCH(1,B4:B29,0),6)</f>
        <v>39</v>
      </c>
    </row>
    <row r="5" spans="2:8" x14ac:dyDescent="0.2">
      <c r="B5" s="6">
        <f>RANK('5do 30 r.ż.'!C4,'5do 30 r.ż.'!$C$3:'5do 30 r.ż.'!$C$28,1)+COUNTIF('5do 30 r.ż.'!$C$3:'5do 30 r.ż.'!C4,'5do 30 r.ż.'!C4)-1</f>
        <v>21</v>
      </c>
      <c r="C5" s="5" t="str">
        <f>INDEX('5do 30 r.ż.'!B3:G28,MATCH(2,B4:B29,0),1)</f>
        <v>Tarnobrzeg</v>
      </c>
      <c r="D5" s="6">
        <f>INDEX('5do 30 r.ż.'!B3:G28,MATCH(2,B4:B29,0),2)</f>
        <v>220</v>
      </c>
      <c r="E5" s="42">
        <f>INDEX('5do 30 r.ż.'!B3:G28,MATCH(2,B4:B29,0),3)</f>
        <v>203</v>
      </c>
      <c r="F5" s="6">
        <f>INDEX('5do 30 r.ż.'!B3:G28,MATCH(2,B4:B29,0),4)</f>
        <v>17</v>
      </c>
      <c r="G5" s="42">
        <f>INDEX('5do 30 r.ż.'!B3:G28,MATCH(2,B4:B29,0),5)</f>
        <v>199</v>
      </c>
      <c r="H5" s="6">
        <f>INDEX('5do 30 r.ż.'!B3:G28,MATCH(2,B4:B29,0),6)</f>
        <v>21</v>
      </c>
    </row>
    <row r="6" spans="2:8" x14ac:dyDescent="0.2">
      <c r="B6" s="6">
        <f>RANK('5do 30 r.ż.'!C5,'5do 30 r.ż.'!$C$3:'5do 30 r.ż.'!$C$28,1)+COUNTIF('5do 30 r.ż.'!$C$3:'5do 30 r.ż.'!C5,'5do 30 r.ż.'!C5)-1</f>
        <v>11</v>
      </c>
      <c r="C6" s="5" t="str">
        <f>INDEX('5do 30 r.ż.'!B3:G28,MATCH(3,B4:B29,0),1)</f>
        <v>bieszczadzki</v>
      </c>
      <c r="D6" s="6">
        <f>INDEX('5do 30 r.ż.'!B3:G28,MATCH(3,B4:B29,0),2)</f>
        <v>240</v>
      </c>
      <c r="E6" s="42">
        <f>INDEX('5do 30 r.ż.'!B3:G28,MATCH(3,B4:B29,0),3)</f>
        <v>249</v>
      </c>
      <c r="F6" s="6">
        <f>INDEX('5do 30 r.ż.'!B3:G28,MATCH(3,B4:B29,0),4)</f>
        <v>-9</v>
      </c>
      <c r="G6" s="42">
        <f>INDEX('5do 30 r.ż.'!B3:G28,MATCH(3,B4:B29,0),5)</f>
        <v>267</v>
      </c>
      <c r="H6" s="6">
        <f>INDEX('5do 30 r.ż.'!B3:G28,MATCH(3,B4:B29,0),6)</f>
        <v>-27</v>
      </c>
    </row>
    <row r="7" spans="2:8" x14ac:dyDescent="0.2">
      <c r="B7" s="6">
        <f>RANK('5do 30 r.ż.'!C6,'5do 30 r.ż.'!$C$3:'5do 30 r.ż.'!$C$28,1)+COUNTIF('5do 30 r.ż.'!$C$3:'5do 30 r.ż.'!C6,'5do 30 r.ż.'!C6)-1</f>
        <v>23</v>
      </c>
      <c r="C7" s="5" t="str">
        <f>INDEX('5do 30 r.ż.'!B3:G28,MATCH(4,B4:B29,0),1)</f>
        <v xml:space="preserve">tarnobrzeski </v>
      </c>
      <c r="D7" s="6">
        <f>INDEX('5do 30 r.ż.'!B3:G28,MATCH(4,B4:B29,0),2)</f>
        <v>322</v>
      </c>
      <c r="E7" s="42">
        <f>INDEX('5do 30 r.ż.'!B3:G28,MATCH(4,B4:B29,0),3)</f>
        <v>314</v>
      </c>
      <c r="F7" s="6">
        <f>INDEX('5do 30 r.ż.'!B3:G28,MATCH(4,B4:B29,0),4)</f>
        <v>8</v>
      </c>
      <c r="G7" s="42">
        <f>INDEX('5do 30 r.ż.'!B3:G28,MATCH(4,B4:B29,0),5)</f>
        <v>299</v>
      </c>
      <c r="H7" s="6">
        <f>INDEX('5do 30 r.ż.'!B3:G28,MATCH(4,B4:B29,0),6)</f>
        <v>23</v>
      </c>
    </row>
    <row r="8" spans="2:8" x14ac:dyDescent="0.2">
      <c r="B8" s="6">
        <f>RANK('5do 30 r.ż.'!C7,'5do 30 r.ż.'!$C$3:'5do 30 r.ż.'!$C$28,1)+COUNTIF('5do 30 r.ż.'!$C$3:'5do 30 r.ż.'!C7,'5do 30 r.ż.'!C7)-1</f>
        <v>24</v>
      </c>
      <c r="C8" s="5" t="str">
        <f>INDEX('5do 30 r.ż.'!B3:G28,MATCH(5,B4:B29,0),1)</f>
        <v>leski</v>
      </c>
      <c r="D8" s="6">
        <f>INDEX('5do 30 r.ż.'!B3:G28,MATCH(5,B4:B29,0),2)</f>
        <v>388</v>
      </c>
      <c r="E8" s="42">
        <f>INDEX('5do 30 r.ż.'!B3:G28,MATCH(5,B4:B29,0),3)</f>
        <v>389</v>
      </c>
      <c r="F8" s="6">
        <f>INDEX('5do 30 r.ż.'!B3:G28,MATCH(5,B4:B29,0),4)</f>
        <v>-1</v>
      </c>
      <c r="G8" s="42">
        <f>INDEX('5do 30 r.ż.'!B3:G28,MATCH(5,B4:B29,0),5)</f>
        <v>378</v>
      </c>
      <c r="H8" s="6">
        <f>INDEX('5do 30 r.ż.'!B3:G28,MATCH(5,B4:B29,0),6)</f>
        <v>10</v>
      </c>
    </row>
    <row r="9" spans="2:8" x14ac:dyDescent="0.2">
      <c r="B9" s="6">
        <f>RANK('5do 30 r.ż.'!C8,'5do 30 r.ż.'!$C$3:'5do 30 r.ż.'!$C$28,1)+COUNTIF('5do 30 r.ż.'!$C$3:'5do 30 r.ż.'!C8,'5do 30 r.ż.'!C8)-1</f>
        <v>6</v>
      </c>
      <c r="C9" s="5" t="str">
        <f>INDEX('5do 30 r.ż.'!B3:G28,MATCH(6,B4:B29,0),1)</f>
        <v>kolbuszowski</v>
      </c>
      <c r="D9" s="6">
        <f>INDEX('5do 30 r.ż.'!B3:G28,MATCH(6,B4:B29,0),2)</f>
        <v>395</v>
      </c>
      <c r="E9" s="42">
        <f>INDEX('5do 30 r.ż.'!B3:G28,MATCH(6,B4:B29,0),3)</f>
        <v>388</v>
      </c>
      <c r="F9" s="6">
        <f>INDEX('5do 30 r.ż.'!B3:G28,MATCH(6,B4:B29,0),4)</f>
        <v>7</v>
      </c>
      <c r="G9" s="42">
        <f>INDEX('5do 30 r.ż.'!B3:G28,MATCH(6,B4:B29,0),5)</f>
        <v>411</v>
      </c>
      <c r="H9" s="6">
        <f>INDEX('5do 30 r.ż.'!B3:G28,MATCH(6,B4:B29,0),6)</f>
        <v>-16</v>
      </c>
    </row>
    <row r="10" spans="2:8" x14ac:dyDescent="0.2">
      <c r="B10" s="6">
        <f>RANK('5do 30 r.ż.'!C9,'5do 30 r.ż.'!$C$3:'5do 30 r.ż.'!$C$28,1)+COUNTIF('5do 30 r.ż.'!$C$3:'5do 30 r.ż.'!C9,'5do 30 r.ż.'!C9)-1</f>
        <v>10</v>
      </c>
      <c r="C10" s="9" t="str">
        <f>INDEX('5do 30 r.ż.'!B3:G28,MATCH(7,B4:B29,0),1)</f>
        <v>lubaczowski</v>
      </c>
      <c r="D10" s="6">
        <f>INDEX('5do 30 r.ż.'!B3:G28,MATCH(7,B4:B29,0),2)</f>
        <v>426</v>
      </c>
      <c r="E10" s="42">
        <f>INDEX('5do 30 r.ż.'!B3:G28,MATCH(7,B4:B29,0),3)</f>
        <v>415</v>
      </c>
      <c r="F10" s="6">
        <f>INDEX('5do 30 r.ż.'!B3:G28,MATCH(7,B4:B29,0),4)</f>
        <v>11</v>
      </c>
      <c r="G10" s="42">
        <f>INDEX('5do 30 r.ż.'!B3:G28,MATCH(7,B4:B29,0),5)</f>
        <v>418</v>
      </c>
      <c r="H10" s="6">
        <f>INDEX('5do 30 r.ż.'!B3:G28,MATCH(7,B4:B29,0),6)</f>
        <v>8</v>
      </c>
    </row>
    <row r="11" spans="2:8" x14ac:dyDescent="0.2">
      <c r="B11" s="6">
        <f>RANK('5do 30 r.ż.'!C10,'5do 30 r.ż.'!$C$3:'5do 30 r.ż.'!$C$28,1)+COUNTIF('5do 30 r.ż.'!$C$3:'5do 30 r.ż.'!C10,'5do 30 r.ż.'!C10)-1</f>
        <v>5</v>
      </c>
      <c r="C11" s="5" t="str">
        <f>INDEX('5do 30 r.ż.'!B3:G28,MATCH(8,B4:B29,0),1)</f>
        <v>Przemyśl</v>
      </c>
      <c r="D11" s="6">
        <f>INDEX('5do 30 r.ż.'!B3:G28,MATCH(8,B4:B29,0),2)</f>
        <v>470</v>
      </c>
      <c r="E11" s="42">
        <f>INDEX('5do 30 r.ż.'!B3:G28,MATCH(8,B4:B29,0),3)</f>
        <v>456</v>
      </c>
      <c r="F11" s="6">
        <f>INDEX('5do 30 r.ż.'!B3:G28,MATCH(8,B4:B29,0),4)</f>
        <v>14</v>
      </c>
      <c r="G11" s="42">
        <f>INDEX('5do 30 r.ż.'!B3:G28,MATCH(8,B4:B29,0),5)</f>
        <v>405</v>
      </c>
      <c r="H11" s="6">
        <f>INDEX('5do 30 r.ż.'!B3:G28,MATCH(8,B4:B29,0),6)</f>
        <v>65</v>
      </c>
    </row>
    <row r="12" spans="2:8" x14ac:dyDescent="0.2">
      <c r="B12" s="6">
        <f>RANK('5do 30 r.ż.'!C11,'5do 30 r.ż.'!$C$3:'5do 30 r.ż.'!$C$28,1)+COUNTIF('5do 30 r.ż.'!$C$3:'5do 30 r.ż.'!C11,'5do 30 r.ż.'!C11)-1</f>
        <v>17</v>
      </c>
      <c r="C12" s="5" t="str">
        <f>INDEX('5do 30 r.ż.'!B3:G28,MATCH(9,B4:B29,0),1)</f>
        <v>stalowowolski</v>
      </c>
      <c r="D12" s="6">
        <f>INDEX('5do 30 r.ż.'!B3:G28,MATCH(9,B4:B29,0),2)</f>
        <v>570</v>
      </c>
      <c r="E12" s="42">
        <f>INDEX('5do 30 r.ż.'!B3:G28,MATCH(9,B4:B29,0),3)</f>
        <v>565</v>
      </c>
      <c r="F12" s="6">
        <f>INDEX('5do 30 r.ż.'!B3:G28,MATCH(9,B4:B29,0),4)</f>
        <v>5</v>
      </c>
      <c r="G12" s="42">
        <f>INDEX('5do 30 r.ż.'!B3:G28,MATCH(9,B4:B29,0),5)</f>
        <v>497</v>
      </c>
      <c r="H12" s="6">
        <f>INDEX('5do 30 r.ż.'!B3:G28,MATCH(9,B4:B29,0),6)</f>
        <v>73</v>
      </c>
    </row>
    <row r="13" spans="2:8" x14ac:dyDescent="0.2">
      <c r="B13" s="6">
        <f>RANK('5do 30 r.ż.'!C12,'5do 30 r.ż.'!$C$3:'5do 30 r.ż.'!$C$28,1)+COUNTIF('5do 30 r.ż.'!$C$3:'5do 30 r.ż.'!C12,'5do 30 r.ż.'!C12)-1</f>
        <v>7</v>
      </c>
      <c r="C13" s="5" t="str">
        <f>INDEX('5do 30 r.ż.'!B3:G28,MATCH(10,B4:B29,0),1)</f>
        <v>krośnieński</v>
      </c>
      <c r="D13" s="6">
        <f>INDEX('5do 30 r.ż.'!B3:G28,MATCH(10,B4:B29,0),2)</f>
        <v>587</v>
      </c>
      <c r="E13" s="42">
        <f>INDEX('5do 30 r.ż.'!B3:G28,MATCH(10,B4:B29,0),3)</f>
        <v>580</v>
      </c>
      <c r="F13" s="6">
        <f>INDEX('5do 30 r.ż.'!B3:G28,MATCH(10,B4:B29,0),4)</f>
        <v>7</v>
      </c>
      <c r="G13" s="42">
        <f>INDEX('5do 30 r.ż.'!B3:G28,MATCH(10,B4:B29,0),5)</f>
        <v>527</v>
      </c>
      <c r="H13" s="6">
        <f>INDEX('5do 30 r.ż.'!B3:G28,MATCH(10,B4:B29,0),6)</f>
        <v>60</v>
      </c>
    </row>
    <row r="14" spans="2:8" x14ac:dyDescent="0.2">
      <c r="B14" s="6">
        <f>RANK('5do 30 r.ż.'!C13,'5do 30 r.ż.'!$C$3:'5do 30 r.ż.'!$C$28,1)+COUNTIF('5do 30 r.ż.'!$C$3:'5do 30 r.ż.'!C13,'5do 30 r.ż.'!C13)-1</f>
        <v>12</v>
      </c>
      <c r="C14" s="5" t="str">
        <f>INDEX('5do 30 r.ż.'!B3:G28,MATCH(11,B4:B29,0),1)</f>
        <v>dębicki</v>
      </c>
      <c r="D14" s="6">
        <f>INDEX('5do 30 r.ż.'!B3:G28,MATCH(11,B4:B29,0),2)</f>
        <v>673</v>
      </c>
      <c r="E14" s="42">
        <f>INDEX('5do 30 r.ż.'!B3:G28,MATCH(11,B4:B29,0),3)</f>
        <v>656</v>
      </c>
      <c r="F14" s="6">
        <f>INDEX('5do 30 r.ż.'!B3:G28,MATCH(11,B4:B29,0),4)</f>
        <v>17</v>
      </c>
      <c r="G14" s="42">
        <f>INDEX('5do 30 r.ż.'!B3:G28,MATCH(11,B4:B29,0),5)</f>
        <v>652</v>
      </c>
      <c r="H14" s="6">
        <f>INDEX('5do 30 r.ż.'!B3:G28,MATCH(11,B4:B29,0),6)</f>
        <v>21</v>
      </c>
    </row>
    <row r="15" spans="2:8" x14ac:dyDescent="0.2">
      <c r="B15" s="6">
        <f>RANK('5do 30 r.ż.'!C14,'5do 30 r.ż.'!$C$3:'5do 30 r.ż.'!$C$28,1)+COUNTIF('5do 30 r.ż.'!$C$3:'5do 30 r.ż.'!C14,'5do 30 r.ż.'!C14)-1</f>
        <v>18</v>
      </c>
      <c r="C15" s="5" t="str">
        <f>INDEX('5do 30 r.ż.'!B3:G28,MATCH(12,B4:B29,0),1)</f>
        <v>łańcucki</v>
      </c>
      <c r="D15" s="6">
        <f>INDEX('5do 30 r.ż.'!B3:G28,MATCH(12,B4:B29,0),2)</f>
        <v>676</v>
      </c>
      <c r="E15" s="42">
        <f>INDEX('5do 30 r.ż.'!B3:G28,MATCH(12,B4:B29,0),3)</f>
        <v>689</v>
      </c>
      <c r="F15" s="6">
        <f>INDEX('5do 30 r.ż.'!B3:G28,MATCH(12,B4:B29,0),4)</f>
        <v>-13</v>
      </c>
      <c r="G15" s="42">
        <f>INDEX('5do 30 r.ż.'!B3:G28,MATCH(12,B4:B29,0),5)</f>
        <v>718</v>
      </c>
      <c r="H15" s="6">
        <f>INDEX('5do 30 r.ż.'!B3:G28,MATCH(12,B4:B29,0),6)</f>
        <v>-42</v>
      </c>
    </row>
    <row r="16" spans="2:8" x14ac:dyDescent="0.2">
      <c r="B16" s="6">
        <f>RANK('5do 30 r.ż.'!C15,'5do 30 r.ż.'!$C$3:'5do 30 r.ż.'!$C$28,1)+COUNTIF('5do 30 r.ż.'!$C$3:'5do 30 r.ż.'!C15,'5do 30 r.ż.'!C15)-1</f>
        <v>13</v>
      </c>
      <c r="C16" s="5" t="str">
        <f>INDEX('5do 30 r.ż.'!B3:G28,MATCH(13,B4:B29,0),1)</f>
        <v>niżański</v>
      </c>
      <c r="D16" s="6">
        <f>INDEX('5do 30 r.ż.'!B3:G28,MATCH(13,B4:B29,0),2)</f>
        <v>700</v>
      </c>
      <c r="E16" s="42">
        <f>INDEX('5do 30 r.ż.'!B3:G28,MATCH(13,B4:B29,0),3)</f>
        <v>714</v>
      </c>
      <c r="F16" s="6">
        <f>INDEX('5do 30 r.ż.'!B3:G28,MATCH(13,B4:B29,0),4)</f>
        <v>-14</v>
      </c>
      <c r="G16" s="42">
        <f>INDEX('5do 30 r.ż.'!B3:G28,MATCH(13,B4:B29,0),5)</f>
        <v>709</v>
      </c>
      <c r="H16" s="6">
        <f>INDEX('5do 30 r.ż.'!B3:G28,MATCH(13,B4:B29,0),6)</f>
        <v>-9</v>
      </c>
    </row>
    <row r="17" spans="2:8" x14ac:dyDescent="0.2">
      <c r="B17" s="6">
        <f>RANK('5do 30 r.ż.'!C16,'5do 30 r.ż.'!$C$3:'5do 30 r.ż.'!$C$28,1)+COUNTIF('5do 30 r.ż.'!$C$3:'5do 30 r.ż.'!C16,'5do 30 r.ż.'!C16)-1</f>
        <v>14</v>
      </c>
      <c r="C17" s="5" t="str">
        <f>INDEX('5do 30 r.ż.'!B3:G28,MATCH(14,B4:B29,0),1)</f>
        <v>przemyski</v>
      </c>
      <c r="D17" s="6">
        <f>INDEX('5do 30 r.ż.'!B3:G28,MATCH(14,B4:B29,0),2)</f>
        <v>728</v>
      </c>
      <c r="E17" s="42">
        <f>INDEX('5do 30 r.ż.'!B3:G28,MATCH(14,B4:B29,0),3)</f>
        <v>737</v>
      </c>
      <c r="F17" s="6">
        <f>INDEX('5do 30 r.ż.'!B3:G28,MATCH(14,B4:B29,0),4)</f>
        <v>-9</v>
      </c>
      <c r="G17" s="42">
        <f>INDEX('5do 30 r.ż.'!B3:G28,MATCH(14,B4:B29,0),5)</f>
        <v>729</v>
      </c>
      <c r="H17" s="6">
        <f>INDEX('5do 30 r.ż.'!B3:G28,MATCH(14,B4:B29,0),6)</f>
        <v>-1</v>
      </c>
    </row>
    <row r="18" spans="2:8" x14ac:dyDescent="0.2">
      <c r="B18" s="6">
        <f>RANK('5do 30 r.ż.'!C17,'5do 30 r.ż.'!$C$3:'5do 30 r.ż.'!$C$28,1)+COUNTIF('5do 30 r.ż.'!$C$3:'5do 30 r.ż.'!C17,'5do 30 r.ż.'!C17)-1</f>
        <v>20</v>
      </c>
      <c r="C18" s="5" t="str">
        <f>INDEX('5do 30 r.ż.'!B3:G28,MATCH(15,B4:B29,0),1)</f>
        <v>sanocki</v>
      </c>
      <c r="D18" s="6">
        <f>INDEX('5do 30 r.ż.'!B3:G28,MATCH(15,B4:B29,0),2)</f>
        <v>732</v>
      </c>
      <c r="E18" s="42">
        <f>INDEX('5do 30 r.ż.'!B3:G28,MATCH(15,B4:B29,0),3)</f>
        <v>743</v>
      </c>
      <c r="F18" s="6">
        <f>INDEX('5do 30 r.ż.'!B3:G28,MATCH(15,B4:B29,0),4)</f>
        <v>-11</v>
      </c>
      <c r="G18" s="42">
        <f>INDEX('5do 30 r.ż.'!B3:G28,MATCH(15,B4:B29,0),5)</f>
        <v>709</v>
      </c>
      <c r="H18" s="6">
        <f>INDEX('5do 30 r.ż.'!B3:G28,MATCH(15,B4:B29,0),6)</f>
        <v>23</v>
      </c>
    </row>
    <row r="19" spans="2:8" x14ac:dyDescent="0.2">
      <c r="B19" s="6">
        <f>RANK('5do 30 r.ż.'!C18,'5do 30 r.ż.'!$C$3:'5do 30 r.ż.'!$C$28,1)+COUNTIF('5do 30 r.ż.'!$C$3:'5do 30 r.ż.'!C18,'5do 30 r.ż.'!C18)-1</f>
        <v>19</v>
      </c>
      <c r="C19" s="5" t="str">
        <f>INDEX('5do 30 r.ż.'!B3:G28,MATCH(16,B4:B29,0),1)</f>
        <v>strzyżowski</v>
      </c>
      <c r="D19" s="6">
        <f>INDEX('5do 30 r.ż.'!B3:G28,MATCH(16,B4:B29,0),2)</f>
        <v>744</v>
      </c>
      <c r="E19" s="42">
        <f>INDEX('5do 30 r.ż.'!B3:G28,MATCH(16,B4:B29,0),3)</f>
        <v>748</v>
      </c>
      <c r="F19" s="6">
        <f>INDEX('5do 30 r.ż.'!B3:G28,MATCH(16,B4:B29,0),4)</f>
        <v>-4</v>
      </c>
      <c r="G19" s="42">
        <f>INDEX('5do 30 r.ż.'!B3:G28,MATCH(16,B4:B29,0),5)</f>
        <v>813</v>
      </c>
      <c r="H19" s="6">
        <f>INDEX('5do 30 r.ż.'!B3:G28,MATCH(16,B4:B29,0),6)</f>
        <v>-69</v>
      </c>
    </row>
    <row r="20" spans="2:8" x14ac:dyDescent="0.2">
      <c r="B20" s="6">
        <f>RANK('5do 30 r.ż.'!C19,'5do 30 r.ż.'!$C$3:'5do 30 r.ż.'!$C$28,1)+COUNTIF('5do 30 r.ż.'!$C$3:'5do 30 r.ż.'!C19,'5do 30 r.ż.'!C19)-1</f>
        <v>25</v>
      </c>
      <c r="C20" s="5" t="str">
        <f>INDEX('5do 30 r.ż.'!B3:G28,MATCH(17,B4:B29,0),1)</f>
        <v>leżajski</v>
      </c>
      <c r="D20" s="6">
        <f>INDEX('5do 30 r.ż.'!B3:G28,MATCH(17,B4:B29,0),2)</f>
        <v>768</v>
      </c>
      <c r="E20" s="42">
        <f>INDEX('5do 30 r.ż.'!B3:G28,MATCH(17,B4:B29,0),3)</f>
        <v>757</v>
      </c>
      <c r="F20" s="6">
        <f>INDEX('5do 30 r.ż.'!B3:G28,MATCH(17,B4:B29,0),4)</f>
        <v>11</v>
      </c>
      <c r="G20" s="42">
        <f>INDEX('5do 30 r.ż.'!B3:G28,MATCH(17,B4:B29,0),5)</f>
        <v>755</v>
      </c>
      <c r="H20" s="6">
        <f>INDEX('5do 30 r.ż.'!B3:G28,MATCH(17,B4:B29,0),6)</f>
        <v>13</v>
      </c>
    </row>
    <row r="21" spans="2:8" x14ac:dyDescent="0.2">
      <c r="B21" s="6">
        <f>RANK('5do 30 r.ż.'!C20,'5do 30 r.ż.'!$C$3:'5do 30 r.ż.'!$C$28,1)+COUNTIF('5do 30 r.ż.'!$C$3:'5do 30 r.ż.'!C20,'5do 30 r.ż.'!C20)-1</f>
        <v>15</v>
      </c>
      <c r="C21" s="5" t="str">
        <f>INDEX('5do 30 r.ż.'!B3:G28,MATCH(18,B4:B29,0),1)</f>
        <v>mielecki</v>
      </c>
      <c r="D21" s="6">
        <f>INDEX('5do 30 r.ż.'!B3:G28,MATCH(18,B4:B29,0),2)</f>
        <v>803</v>
      </c>
      <c r="E21" s="42">
        <f>INDEX('5do 30 r.ż.'!B3:G28,MATCH(18,B4:B29,0),3)</f>
        <v>762</v>
      </c>
      <c r="F21" s="6">
        <f>INDEX('5do 30 r.ż.'!B3:G28,MATCH(18,B4:B29,0),4)</f>
        <v>41</v>
      </c>
      <c r="G21" s="42">
        <f>INDEX('5do 30 r.ż.'!B3:G28,MATCH(18,B4:B29,0),5)</f>
        <v>717</v>
      </c>
      <c r="H21" s="6">
        <f>INDEX('5do 30 r.ż.'!B3:G28,MATCH(18,B4:B29,0),6)</f>
        <v>86</v>
      </c>
    </row>
    <row r="22" spans="2:8" x14ac:dyDescent="0.2">
      <c r="B22" s="6">
        <f>RANK('5do 30 r.ż.'!C21,'5do 30 r.ż.'!$C$3:'5do 30 r.ż.'!$C$28,1)+COUNTIF('5do 30 r.ż.'!$C$3:'5do 30 r.ż.'!C21,'5do 30 r.ż.'!C21)-1</f>
        <v>9</v>
      </c>
      <c r="C22" s="5" t="str">
        <f>INDEX('5do 30 r.ż.'!B3:G28,MATCH(19,B4:B29,0),1)</f>
        <v>ropczycko-sędziszowski</v>
      </c>
      <c r="D22" s="6">
        <f>INDEX('5do 30 r.ż.'!B3:G28,MATCH(19,B4:B29,0),2)</f>
        <v>824</v>
      </c>
      <c r="E22" s="42">
        <f>INDEX('5do 30 r.ż.'!B3:G28,MATCH(19,B4:B29,0),3)</f>
        <v>808</v>
      </c>
      <c r="F22" s="6">
        <f>INDEX('5do 30 r.ż.'!B3:G28,MATCH(19,B4:B29,0),4)</f>
        <v>16</v>
      </c>
      <c r="G22" s="42">
        <f>INDEX('5do 30 r.ż.'!B3:G28,MATCH(19,B4:B29,0),5)</f>
        <v>762</v>
      </c>
      <c r="H22" s="6">
        <f>INDEX('5do 30 r.ż.'!B3:G28,MATCH(19,B4:B29,0),6)</f>
        <v>62</v>
      </c>
    </row>
    <row r="23" spans="2:8" x14ac:dyDescent="0.2">
      <c r="B23" s="6">
        <f>RANK('5do 30 r.ż.'!C22,'5do 30 r.ż.'!$C$3:'5do 30 r.ż.'!$C$28,1)+COUNTIF('5do 30 r.ż.'!$C$3:'5do 30 r.ż.'!C22,'5do 30 r.ż.'!C22)-1</f>
        <v>16</v>
      </c>
      <c r="C23" s="5" t="str">
        <f>INDEX('5do 30 r.ż.'!B3:G28,MATCH(20,B4:B29,0),1)</f>
        <v>przeworski</v>
      </c>
      <c r="D23" s="6">
        <f>INDEX('5do 30 r.ż.'!B3:G28,MATCH(20,B4:B29,0),2)</f>
        <v>871</v>
      </c>
      <c r="E23" s="42">
        <f>INDEX('5do 30 r.ż.'!B3:G28,MATCH(20,B4:B29,0),3)</f>
        <v>868</v>
      </c>
      <c r="F23" s="6">
        <f>INDEX('5do 30 r.ż.'!B3:G28,MATCH(20,B4:B29,0),4)</f>
        <v>3</v>
      </c>
      <c r="G23" s="42">
        <f>INDEX('5do 30 r.ż.'!B3:G28,MATCH(20,B4:B29,0),5)</f>
        <v>871</v>
      </c>
      <c r="H23" s="6">
        <f>INDEX('5do 30 r.ż.'!B3:G28,MATCH(20,B4:B29,0),6)</f>
        <v>0</v>
      </c>
    </row>
    <row r="24" spans="2:8" x14ac:dyDescent="0.2">
      <c r="B24" s="6">
        <f>RANK('5do 30 r.ż.'!C23,'5do 30 r.ż.'!$C$3:'5do 30 r.ż.'!$C$28,1)+COUNTIF('5do 30 r.ż.'!$C$3:'5do 30 r.ż.'!C23,'5do 30 r.ż.'!C23)-1</f>
        <v>4</v>
      </c>
      <c r="C24" s="5" t="str">
        <f>INDEX('5do 30 r.ż.'!B3:G28,MATCH(21,B4:B29,0),1)</f>
        <v>brzozowski</v>
      </c>
      <c r="D24" s="6">
        <f>INDEX('5do 30 r.ż.'!B3:G28,MATCH(21,B4:B29,0),2)</f>
        <v>893</v>
      </c>
      <c r="E24" s="42">
        <f>INDEX('5do 30 r.ż.'!B3:G28,MATCH(21,B4:B29,0),3)</f>
        <v>924</v>
      </c>
      <c r="F24" s="6">
        <f>INDEX('5do 30 r.ż.'!B3:G28,MATCH(21,B4:B29,0),4)</f>
        <v>-31</v>
      </c>
      <c r="G24" s="42">
        <f>INDEX('5do 30 r.ż.'!B3:G28,MATCH(21,B4:B29,0),5)</f>
        <v>856</v>
      </c>
      <c r="H24" s="6">
        <f>INDEX('5do 30 r.ż.'!B3:G28,MATCH(21,B4:B29,0),6)</f>
        <v>37</v>
      </c>
    </row>
    <row r="25" spans="2:8" x14ac:dyDescent="0.2">
      <c r="B25" s="6">
        <f>RANK('5do 30 r.ż.'!C24,'5do 30 r.ż.'!$C$3:'5do 30 r.ż.'!$C$28,1)+COUNTIF('5do 30 r.ż.'!$C$3:'5do 30 r.ż.'!C24,'5do 30 r.ż.'!C24)-1</f>
        <v>1</v>
      </c>
      <c r="C25" s="5" t="str">
        <f>INDEX('5do 30 r.ż.'!B3:G28,MATCH(22,B4:B29,0),1)</f>
        <v>Rzeszów</v>
      </c>
      <c r="D25" s="6">
        <f>INDEX('5do 30 r.ż.'!B3:G28,MATCH(22,B4:B29,0),2)</f>
        <v>991</v>
      </c>
      <c r="E25" s="42">
        <f>INDEX('5do 30 r.ż.'!B3:G28,MATCH(22,B4:B29,0),3)</f>
        <v>953</v>
      </c>
      <c r="F25" s="6">
        <f>INDEX('5do 30 r.ż.'!B3:G28,MATCH(22,B4:B29,0),4)</f>
        <v>38</v>
      </c>
      <c r="G25" s="42">
        <f>INDEX('5do 30 r.ż.'!B3:G28,MATCH(22,B4:B29,0),5)</f>
        <v>896</v>
      </c>
      <c r="H25" s="6">
        <f>INDEX('5do 30 r.ż.'!B3:G28,MATCH(22,B4:B29,0),6)</f>
        <v>95</v>
      </c>
    </row>
    <row r="26" spans="2:8" x14ac:dyDescent="0.2">
      <c r="B26" s="6">
        <f>RANK('5do 30 r.ż.'!C25,'5do 30 r.ż.'!$C$3:'5do 30 r.ż.'!$C$28,1)+COUNTIF('5do 30 r.ż.'!$C$3:'5do 30 r.ż.'!C25,'5do 30 r.ż.'!C25)-1</f>
        <v>8</v>
      </c>
      <c r="C26" s="5" t="str">
        <f>INDEX('5do 30 r.ż.'!B3:G28,MATCH(23,B4:B29,0),1)</f>
        <v>jarosławski</v>
      </c>
      <c r="D26" s="6">
        <f>INDEX('5do 30 r.ż.'!B3:G28,MATCH(23,B4:B29,0),2)</f>
        <v>1088</v>
      </c>
      <c r="E26" s="42">
        <f>INDEX('5do 30 r.ż.'!B3:G28,MATCH(23,B4:B29,0),3)</f>
        <v>1103</v>
      </c>
      <c r="F26" s="6">
        <f>INDEX('5do 30 r.ż.'!B3:G28,MATCH(23,B4:B29,0),4)</f>
        <v>-15</v>
      </c>
      <c r="G26" s="42">
        <f>INDEX('5do 30 r.ż.'!B3:G28,MATCH(23,B4:B29,0),5)</f>
        <v>1044</v>
      </c>
      <c r="H26" s="6">
        <f>INDEX('5do 30 r.ż.'!B3:G28,MATCH(23,B4:B29,0),6)</f>
        <v>44</v>
      </c>
    </row>
    <row r="27" spans="2:8" x14ac:dyDescent="0.2">
      <c r="B27" s="6">
        <f>RANK('5do 30 r.ż.'!C26,'5do 30 r.ż.'!$C$3:'5do 30 r.ż.'!$C$28,1)+COUNTIF('5do 30 r.ż.'!$C$3:'5do 30 r.ż.'!C26,'5do 30 r.ż.'!C26)-1</f>
        <v>22</v>
      </c>
      <c r="C27" s="5" t="str">
        <f>INDEX('5do 30 r.ż.'!B3:G28,MATCH(24,B4:B29,0),1)</f>
        <v>jasielski</v>
      </c>
      <c r="D27" s="6">
        <f>INDEX('5do 30 r.ż.'!B3:G28,MATCH(24,B4:B29,0),2)</f>
        <v>1134</v>
      </c>
      <c r="E27" s="42">
        <f>INDEX('5do 30 r.ż.'!B3:G28,MATCH(24,B4:B29,0),3)</f>
        <v>1150</v>
      </c>
      <c r="F27" s="6">
        <f>INDEX('5do 30 r.ż.'!B3:G28,MATCH(24,B4:B29,0),4)</f>
        <v>-16</v>
      </c>
      <c r="G27" s="42">
        <f>INDEX('5do 30 r.ż.'!B3:G28,MATCH(24,B4:B29,0),5)</f>
        <v>1151</v>
      </c>
      <c r="H27" s="6">
        <f>INDEX('5do 30 r.ż.'!B3:G28,MATCH(24,B4:B29,0),6)</f>
        <v>-17</v>
      </c>
    </row>
    <row r="28" spans="2:8" x14ac:dyDescent="0.2">
      <c r="B28" s="6">
        <f>RANK('5do 30 r.ż.'!C27,'5do 30 r.ż.'!$C$3:'5do 30 r.ż.'!$C$28,1)+COUNTIF('5do 30 r.ż.'!$C$3:'5do 30 r.ż.'!C27,'5do 30 r.ż.'!C27)-1</f>
        <v>2</v>
      </c>
      <c r="C28" s="5" t="str">
        <f>INDEX('5do 30 r.ż.'!B3:G28,MATCH(25,B4:B29,0),1)</f>
        <v>rzeszowski</v>
      </c>
      <c r="D28" s="6">
        <f>INDEX('5do 30 r.ż.'!B3:G28,MATCH(25,B4:B29,0),2)</f>
        <v>1223</v>
      </c>
      <c r="E28" s="42">
        <f>INDEX('5do 30 r.ż.'!B3:G28,MATCH(25,B4:B29,0),3)</f>
        <v>1216</v>
      </c>
      <c r="F28" s="6">
        <f>INDEX('5do 30 r.ż.'!B3:G28,MATCH(25,B4:B29,0),4)</f>
        <v>7</v>
      </c>
      <c r="G28" s="42">
        <f>INDEX('5do 30 r.ż.'!B3:G28,MATCH(25,B4:B29,0),5)</f>
        <v>1161</v>
      </c>
      <c r="H28" s="6">
        <f>INDEX('5do 30 r.ż.'!B3:G28,MATCH(25,B4:B29,0),6)</f>
        <v>62</v>
      </c>
    </row>
    <row r="29" spans="2:8" ht="15" x14ac:dyDescent="0.25">
      <c r="B29" s="40">
        <f>RANK('5do 30 r.ż.'!C28,'5do 30 r.ż.'!$C$3:'5do 30 r.ż.'!$C$28,1)+COUNTIF('5do 30 r.ż.'!$C$3:'5do 30 r.ż.'!C28,'5do 30 r.ż.'!C28)-1</f>
        <v>26</v>
      </c>
      <c r="C29" s="39" t="str">
        <f>INDEX('5do 30 r.ż.'!B3:G28,MATCH(26,B4:B29,0),1)</f>
        <v>województwo</v>
      </c>
      <c r="D29" s="40">
        <f>INDEX('5do 30 r.ż.'!B3:G28,MATCH(26,B4:B29,0),2)</f>
        <v>16656</v>
      </c>
      <c r="E29" s="44">
        <f>INDEX('5do 30 r.ż.'!B3:G28,MATCH(26,B4:B29,0),3)</f>
        <v>16572</v>
      </c>
      <c r="F29" s="40">
        <f>INDEX('5do 30 r.ż.'!B3:G28,MATCH(26,B4:B29,0),4)</f>
        <v>84</v>
      </c>
      <c r="G29" s="44">
        <f>INDEX('5do 30 r.ż.'!B3:G28,MATCH(26,B4:B29,0),5)</f>
        <v>16095</v>
      </c>
      <c r="H29" s="40">
        <f>INDEX('5do 30 r.ż.'!B3:G28,MATCH(26,B4:B29,0),6)</f>
        <v>561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5.28515625" style="3" customWidth="1"/>
    <col min="6" max="6" width="13.7109375" style="3" customWidth="1"/>
    <col min="7" max="7" width="15.425781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38</v>
      </c>
      <c r="C1" s="29"/>
      <c r="D1" s="29"/>
      <c r="E1" s="29"/>
      <c r="F1" s="29"/>
      <c r="G1" s="29"/>
    </row>
    <row r="2" spans="2:8" ht="57.75" x14ac:dyDescent="0.2">
      <c r="B2" s="36" t="s">
        <v>27</v>
      </c>
      <c r="C2" s="37" t="s">
        <v>93</v>
      </c>
      <c r="D2" s="38" t="s">
        <v>92</v>
      </c>
      <c r="E2" s="37" t="s">
        <v>28</v>
      </c>
      <c r="F2" s="38" t="s">
        <v>94</v>
      </c>
      <c r="G2" s="37" t="s">
        <v>26</v>
      </c>
    </row>
    <row r="3" spans="2:8" x14ac:dyDescent="0.2">
      <c r="B3" s="5" t="s">
        <v>0</v>
      </c>
      <c r="C3" s="28">
        <v>242</v>
      </c>
      <c r="D3" s="42">
        <v>241</v>
      </c>
      <c r="E3" s="28">
        <f t="shared" ref="E3:E27" si="0">SUM(C3)-D3</f>
        <v>1</v>
      </c>
      <c r="F3" s="42">
        <v>232</v>
      </c>
      <c r="G3" s="28">
        <f t="shared" ref="G3:G27" si="1">SUM(C3)-F3</f>
        <v>10</v>
      </c>
      <c r="H3" s="7"/>
    </row>
    <row r="4" spans="2:8" x14ac:dyDescent="0.2">
      <c r="B4" s="5" t="s">
        <v>1</v>
      </c>
      <c r="C4" s="28">
        <v>854</v>
      </c>
      <c r="D4" s="42">
        <v>858</v>
      </c>
      <c r="E4" s="28">
        <f t="shared" si="0"/>
        <v>-4</v>
      </c>
      <c r="F4" s="42">
        <v>852</v>
      </c>
      <c r="G4" s="28">
        <f t="shared" si="1"/>
        <v>2</v>
      </c>
      <c r="H4" s="7"/>
    </row>
    <row r="5" spans="2:8" x14ac:dyDescent="0.2">
      <c r="B5" s="5" t="s">
        <v>2</v>
      </c>
      <c r="C5" s="28">
        <v>515</v>
      </c>
      <c r="D5" s="42">
        <v>512</v>
      </c>
      <c r="E5" s="28">
        <f t="shared" si="0"/>
        <v>3</v>
      </c>
      <c r="F5" s="42">
        <v>533</v>
      </c>
      <c r="G5" s="28">
        <f t="shared" si="1"/>
        <v>-18</v>
      </c>
      <c r="H5" s="7"/>
    </row>
    <row r="6" spans="2:8" x14ac:dyDescent="0.2">
      <c r="B6" s="5" t="s">
        <v>3</v>
      </c>
      <c r="C6" s="28">
        <v>1104</v>
      </c>
      <c r="D6" s="42">
        <v>1097</v>
      </c>
      <c r="E6" s="28">
        <f t="shared" si="0"/>
        <v>7</v>
      </c>
      <c r="F6" s="42">
        <v>1068</v>
      </c>
      <c r="G6" s="28">
        <f t="shared" si="1"/>
        <v>36</v>
      </c>
      <c r="H6" s="7"/>
    </row>
    <row r="7" spans="2:8" x14ac:dyDescent="0.2">
      <c r="B7" s="5" t="s">
        <v>4</v>
      </c>
      <c r="C7" s="28">
        <v>1103</v>
      </c>
      <c r="D7" s="42">
        <v>1083</v>
      </c>
      <c r="E7" s="28">
        <f t="shared" si="0"/>
        <v>20</v>
      </c>
      <c r="F7" s="42">
        <v>1061</v>
      </c>
      <c r="G7" s="28">
        <f t="shared" si="1"/>
        <v>42</v>
      </c>
      <c r="H7" s="7"/>
    </row>
    <row r="8" spans="2:8" x14ac:dyDescent="0.2">
      <c r="B8" s="5" t="s">
        <v>5</v>
      </c>
      <c r="C8" s="28">
        <v>408</v>
      </c>
      <c r="D8" s="42">
        <v>402</v>
      </c>
      <c r="E8" s="28">
        <f t="shared" si="0"/>
        <v>6</v>
      </c>
      <c r="F8" s="42">
        <v>409</v>
      </c>
      <c r="G8" s="28">
        <f t="shared" si="1"/>
        <v>-1</v>
      </c>
      <c r="H8" s="7"/>
    </row>
    <row r="9" spans="2:8" x14ac:dyDescent="0.2">
      <c r="B9" s="9" t="s">
        <v>6</v>
      </c>
      <c r="C9" s="28">
        <v>655</v>
      </c>
      <c r="D9" s="42">
        <v>651</v>
      </c>
      <c r="E9" s="28">
        <f t="shared" si="0"/>
        <v>4</v>
      </c>
      <c r="F9" s="42">
        <v>577</v>
      </c>
      <c r="G9" s="28">
        <f t="shared" si="1"/>
        <v>78</v>
      </c>
      <c r="H9" s="7"/>
    </row>
    <row r="10" spans="2:8" x14ac:dyDescent="0.2">
      <c r="B10" s="5" t="s">
        <v>7</v>
      </c>
      <c r="C10" s="28">
        <v>400</v>
      </c>
      <c r="D10" s="42">
        <v>404</v>
      </c>
      <c r="E10" s="28">
        <f t="shared" si="0"/>
        <v>-4</v>
      </c>
      <c r="F10" s="42">
        <v>395</v>
      </c>
      <c r="G10" s="28">
        <f t="shared" si="1"/>
        <v>5</v>
      </c>
      <c r="H10" s="7"/>
    </row>
    <row r="11" spans="2:8" x14ac:dyDescent="0.2">
      <c r="B11" s="5" t="s">
        <v>8</v>
      </c>
      <c r="C11" s="28">
        <v>664</v>
      </c>
      <c r="D11" s="42">
        <v>662</v>
      </c>
      <c r="E11" s="28">
        <f t="shared" si="0"/>
        <v>2</v>
      </c>
      <c r="F11" s="42">
        <v>655</v>
      </c>
      <c r="G11" s="28">
        <f t="shared" si="1"/>
        <v>9</v>
      </c>
      <c r="H11" s="7"/>
    </row>
    <row r="12" spans="2:8" x14ac:dyDescent="0.2">
      <c r="B12" s="5" t="s">
        <v>9</v>
      </c>
      <c r="C12" s="28">
        <v>430</v>
      </c>
      <c r="D12" s="42">
        <v>423</v>
      </c>
      <c r="E12" s="28">
        <f t="shared" si="0"/>
        <v>7</v>
      </c>
      <c r="F12" s="42">
        <v>448</v>
      </c>
      <c r="G12" s="28">
        <f t="shared" si="1"/>
        <v>-18</v>
      </c>
      <c r="H12" s="7"/>
    </row>
    <row r="13" spans="2:8" x14ac:dyDescent="0.2">
      <c r="B13" s="5" t="s">
        <v>10</v>
      </c>
      <c r="C13" s="28">
        <v>573</v>
      </c>
      <c r="D13" s="42">
        <v>583</v>
      </c>
      <c r="E13" s="28">
        <f t="shared" si="0"/>
        <v>-10</v>
      </c>
      <c r="F13" s="42">
        <v>538</v>
      </c>
      <c r="G13" s="28">
        <f t="shared" si="1"/>
        <v>35</v>
      </c>
      <c r="H13" s="7"/>
    </row>
    <row r="14" spans="2:8" x14ac:dyDescent="0.2">
      <c r="B14" s="5" t="s">
        <v>11</v>
      </c>
      <c r="C14" s="28">
        <v>783</v>
      </c>
      <c r="D14" s="42">
        <v>771</v>
      </c>
      <c r="E14" s="28">
        <f t="shared" si="0"/>
        <v>12</v>
      </c>
      <c r="F14" s="42">
        <v>706</v>
      </c>
      <c r="G14" s="28">
        <f t="shared" si="1"/>
        <v>77</v>
      </c>
      <c r="H14" s="7"/>
    </row>
    <row r="15" spans="2:8" x14ac:dyDescent="0.2">
      <c r="B15" s="5" t="s">
        <v>12</v>
      </c>
      <c r="C15" s="28">
        <v>685</v>
      </c>
      <c r="D15" s="42">
        <v>681</v>
      </c>
      <c r="E15" s="28">
        <f t="shared" si="0"/>
        <v>4</v>
      </c>
      <c r="F15" s="42">
        <v>661</v>
      </c>
      <c r="G15" s="28">
        <f t="shared" si="1"/>
        <v>24</v>
      </c>
      <c r="H15" s="7"/>
    </row>
    <row r="16" spans="2:8" x14ac:dyDescent="0.2">
      <c r="B16" s="5" t="s">
        <v>13</v>
      </c>
      <c r="C16" s="28">
        <v>724</v>
      </c>
      <c r="D16" s="42">
        <v>714</v>
      </c>
      <c r="E16" s="28">
        <f t="shared" si="0"/>
        <v>10</v>
      </c>
      <c r="F16" s="42">
        <v>674</v>
      </c>
      <c r="G16" s="28">
        <f t="shared" si="1"/>
        <v>50</v>
      </c>
      <c r="H16" s="7"/>
    </row>
    <row r="17" spans="2:8" x14ac:dyDescent="0.2">
      <c r="B17" s="5" t="s">
        <v>14</v>
      </c>
      <c r="C17" s="28">
        <v>738</v>
      </c>
      <c r="D17" s="42">
        <v>726</v>
      </c>
      <c r="E17" s="28">
        <f t="shared" si="0"/>
        <v>12</v>
      </c>
      <c r="F17" s="42">
        <v>690</v>
      </c>
      <c r="G17" s="28">
        <f t="shared" si="1"/>
        <v>48</v>
      </c>
      <c r="H17" s="7"/>
    </row>
    <row r="18" spans="2:8" x14ac:dyDescent="0.2">
      <c r="B18" s="5" t="s">
        <v>15</v>
      </c>
      <c r="C18" s="28">
        <v>576</v>
      </c>
      <c r="D18" s="42">
        <v>571</v>
      </c>
      <c r="E18" s="28">
        <f t="shared" si="0"/>
        <v>5</v>
      </c>
      <c r="F18" s="42">
        <v>570</v>
      </c>
      <c r="G18" s="28">
        <f t="shared" si="1"/>
        <v>6</v>
      </c>
      <c r="H18" s="7"/>
    </row>
    <row r="19" spans="2:8" x14ac:dyDescent="0.2">
      <c r="B19" s="5" t="s">
        <v>16</v>
      </c>
      <c r="C19" s="28">
        <v>1084</v>
      </c>
      <c r="D19" s="42">
        <v>1078</v>
      </c>
      <c r="E19" s="28">
        <f t="shared" si="0"/>
        <v>6</v>
      </c>
      <c r="F19" s="42">
        <v>1056</v>
      </c>
      <c r="G19" s="28">
        <f t="shared" si="1"/>
        <v>28</v>
      </c>
      <c r="H19" s="7"/>
    </row>
    <row r="20" spans="2:8" x14ac:dyDescent="0.2">
      <c r="B20" s="5" t="s">
        <v>17</v>
      </c>
      <c r="C20" s="28">
        <v>665</v>
      </c>
      <c r="D20" s="42">
        <v>660</v>
      </c>
      <c r="E20" s="28">
        <f t="shared" si="0"/>
        <v>5</v>
      </c>
      <c r="F20" s="42">
        <v>601</v>
      </c>
      <c r="G20" s="28">
        <f t="shared" si="1"/>
        <v>64</v>
      </c>
      <c r="H20" s="7"/>
    </row>
    <row r="21" spans="2:8" x14ac:dyDescent="0.2">
      <c r="B21" s="5" t="s">
        <v>18</v>
      </c>
      <c r="C21" s="28">
        <v>545</v>
      </c>
      <c r="D21" s="42">
        <v>544</v>
      </c>
      <c r="E21" s="28">
        <f t="shared" si="0"/>
        <v>1</v>
      </c>
      <c r="F21" s="42">
        <v>486</v>
      </c>
      <c r="G21" s="28">
        <f t="shared" si="1"/>
        <v>59</v>
      </c>
      <c r="H21" s="7"/>
    </row>
    <row r="22" spans="2:8" x14ac:dyDescent="0.2">
      <c r="B22" s="5" t="s">
        <v>19</v>
      </c>
      <c r="C22" s="28">
        <v>754</v>
      </c>
      <c r="D22" s="42">
        <v>742</v>
      </c>
      <c r="E22" s="28">
        <f t="shared" si="0"/>
        <v>12</v>
      </c>
      <c r="F22" s="42">
        <v>684</v>
      </c>
      <c r="G22" s="28">
        <f t="shared" si="1"/>
        <v>70</v>
      </c>
      <c r="H22" s="7"/>
    </row>
    <row r="23" spans="2:8" x14ac:dyDescent="0.2">
      <c r="B23" s="5" t="s">
        <v>20</v>
      </c>
      <c r="C23" s="28">
        <v>349</v>
      </c>
      <c r="D23" s="42">
        <v>342</v>
      </c>
      <c r="E23" s="28">
        <f t="shared" si="0"/>
        <v>7</v>
      </c>
      <c r="F23" s="42">
        <v>340</v>
      </c>
      <c r="G23" s="28">
        <f t="shared" si="1"/>
        <v>9</v>
      </c>
      <c r="H23" s="7"/>
    </row>
    <row r="24" spans="2:8" x14ac:dyDescent="0.2">
      <c r="B24" s="5" t="s">
        <v>21</v>
      </c>
      <c r="C24" s="28">
        <v>208</v>
      </c>
      <c r="D24" s="42">
        <v>211</v>
      </c>
      <c r="E24" s="28">
        <f t="shared" si="0"/>
        <v>-3</v>
      </c>
      <c r="F24" s="42">
        <v>194</v>
      </c>
      <c r="G24" s="28">
        <f t="shared" si="1"/>
        <v>14</v>
      </c>
      <c r="H24" s="7"/>
    </row>
    <row r="25" spans="2:8" x14ac:dyDescent="0.2">
      <c r="B25" s="5" t="s">
        <v>22</v>
      </c>
      <c r="C25" s="28">
        <v>705</v>
      </c>
      <c r="D25" s="42">
        <v>713</v>
      </c>
      <c r="E25" s="28">
        <f t="shared" si="0"/>
        <v>-8</v>
      </c>
      <c r="F25" s="42">
        <v>680</v>
      </c>
      <c r="G25" s="28">
        <f t="shared" si="1"/>
        <v>25</v>
      </c>
      <c r="H25" s="7"/>
    </row>
    <row r="26" spans="2:8" x14ac:dyDescent="0.2">
      <c r="B26" s="5" t="s">
        <v>23</v>
      </c>
      <c r="C26" s="28">
        <v>1325</v>
      </c>
      <c r="D26" s="42">
        <v>1310</v>
      </c>
      <c r="E26" s="28">
        <f t="shared" si="0"/>
        <v>15</v>
      </c>
      <c r="F26" s="42">
        <v>1319</v>
      </c>
      <c r="G26" s="28">
        <f t="shared" si="1"/>
        <v>6</v>
      </c>
      <c r="H26" s="7"/>
    </row>
    <row r="27" spans="2:8" x14ac:dyDescent="0.2">
      <c r="B27" s="5" t="s">
        <v>24</v>
      </c>
      <c r="C27" s="28">
        <v>286</v>
      </c>
      <c r="D27" s="42">
        <v>279</v>
      </c>
      <c r="E27" s="28">
        <f t="shared" si="0"/>
        <v>7</v>
      </c>
      <c r="F27" s="42">
        <v>292</v>
      </c>
      <c r="G27" s="28">
        <f t="shared" si="1"/>
        <v>-6</v>
      </c>
      <c r="H27" s="7"/>
    </row>
    <row r="28" spans="2:8" ht="15" x14ac:dyDescent="0.25">
      <c r="B28" s="39" t="s">
        <v>25</v>
      </c>
      <c r="C28" s="48">
        <f>SUM(C3:C27)</f>
        <v>16375</v>
      </c>
      <c r="D28" s="44">
        <f>SUM(D3:D27)</f>
        <v>16258</v>
      </c>
      <c r="E28" s="48">
        <f>SUM(E3:E27)</f>
        <v>117</v>
      </c>
      <c r="F28" s="44">
        <f>SUM(F3:F27)</f>
        <v>15721</v>
      </c>
      <c r="G28" s="48">
        <f>SUM(G3:G27)</f>
        <v>654</v>
      </c>
      <c r="H28" s="7"/>
    </row>
    <row r="29" spans="2:8" x14ac:dyDescent="0.2">
      <c r="C29" s="19"/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38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T('6pow. 50 r.ż.'!B2)</f>
        <v>powiaty</v>
      </c>
      <c r="D3" s="36" t="str">
        <f>T('6pow. 50 r.ż.'!C2)</f>
        <v>liczba bezrobotnych 50+ stan na 30-06-'25 r.</v>
      </c>
      <c r="E3" s="36" t="str">
        <f>T('6pow. 50 r.ż.'!D2)</f>
        <v>liczba bezrobotnych 50+ stan na 31-05-'25 r.</v>
      </c>
      <c r="F3" s="36" t="str">
        <f>T('6pow. 50 r.ż.'!E2)</f>
        <v>wzrost/spadek do poprzedniego  miesiąca</v>
      </c>
      <c r="G3" s="36" t="str">
        <f>T('6pow. 50 r.ż.'!F2)</f>
        <v>liczba bezrobotnych 50+ stan na 30-06-'24 r.</v>
      </c>
      <c r="H3" s="36" t="str">
        <f>T('6pow. 50 r.ż.'!G2)</f>
        <v>wzrost/spadek do analogicznego okresu ubr.</v>
      </c>
    </row>
    <row r="4" spans="2:8" x14ac:dyDescent="0.2">
      <c r="B4" s="6">
        <f>RANK('6pow. 50 r.ż.'!C3,'6pow. 50 r.ż.'!$C$3:'6pow. 50 r.ż.'!$C$28,1)+COUNTIF('6pow. 50 r.ż.'!$C$3:'6pow. 50 r.ż.'!C3,'6pow. 50 r.ż.'!C3)-1</f>
        <v>2</v>
      </c>
      <c r="C4" s="5" t="str">
        <f>INDEX('6pow. 50 r.ż.'!B3:G28,MATCH(1,B4:B29,0),1)</f>
        <v>Krosno</v>
      </c>
      <c r="D4" s="24">
        <f>INDEX('6pow. 50 r.ż.'!B3:G28,MATCH(1,B4:B29,0),2)</f>
        <v>208</v>
      </c>
      <c r="E4" s="42">
        <f>INDEX('6pow. 50 r.ż.'!B3:G28,MATCH(1,B4:B29,0),3)</f>
        <v>211</v>
      </c>
      <c r="F4" s="6">
        <f>INDEX('6pow. 50 r.ż.'!B3:G28,MATCH(1,B4:B29,0),4)</f>
        <v>-3</v>
      </c>
      <c r="G4" s="42">
        <f>INDEX('6pow. 50 r.ż.'!B3:G28,MATCH(1,B4:B29,0),5)</f>
        <v>194</v>
      </c>
      <c r="H4" s="6">
        <f>INDEX('6pow. 50 r.ż.'!B3:G28,MATCH(1,B4:B29,0),6)</f>
        <v>14</v>
      </c>
    </row>
    <row r="5" spans="2:8" x14ac:dyDescent="0.2">
      <c r="B5" s="6">
        <f>RANK('6pow. 50 r.ż.'!C4,'6pow. 50 r.ż.'!$C$3:'6pow. 50 r.ż.'!$C$28,1)+COUNTIF('6pow. 50 r.ż.'!$C$3:'6pow. 50 r.ż.'!C4,'6pow. 50 r.ż.'!C4)-1</f>
        <v>21</v>
      </c>
      <c r="C5" s="5" t="str">
        <f>INDEX('6pow. 50 r.ż.'!B3:G28,MATCH(2,B4:B29,0),1)</f>
        <v>bieszczadzki</v>
      </c>
      <c r="D5" s="6">
        <f>INDEX('6pow. 50 r.ż.'!B3:G28,MATCH(2,B4:B29,0),2)</f>
        <v>242</v>
      </c>
      <c r="E5" s="42">
        <f>INDEX('6pow. 50 r.ż.'!B3:G28,MATCH(2,B4:B29,0),3)</f>
        <v>241</v>
      </c>
      <c r="F5" s="6">
        <f>INDEX('6pow. 50 r.ż.'!B3:G28,MATCH(2,B4:B29,0),4)</f>
        <v>1</v>
      </c>
      <c r="G5" s="42">
        <f>INDEX('6pow. 50 r.ż.'!B3:G28,MATCH(2,B4:B29,0),5)</f>
        <v>232</v>
      </c>
      <c r="H5" s="6">
        <f>INDEX('6pow. 50 r.ż.'!B3:G28,MATCH(2,B4:B29,0),6)</f>
        <v>10</v>
      </c>
    </row>
    <row r="6" spans="2:8" x14ac:dyDescent="0.2">
      <c r="B6" s="6">
        <f>RANK('6pow. 50 r.ż.'!C5,'6pow. 50 r.ż.'!$C$3:'6pow. 50 r.ż.'!$C$28,1)+COUNTIF('6pow. 50 r.ż.'!$C$3:'6pow. 50 r.ż.'!C5,'6pow. 50 r.ż.'!C5)-1</f>
        <v>8</v>
      </c>
      <c r="C6" s="5" t="str">
        <f>INDEX('6pow. 50 r.ż.'!B3:G28,MATCH(3,B4:B29,0),1)</f>
        <v>Tarnobrzeg</v>
      </c>
      <c r="D6" s="6">
        <f>INDEX('6pow. 50 r.ż.'!B3:G28,MATCH(3,B4:B29,0),2)</f>
        <v>286</v>
      </c>
      <c r="E6" s="42">
        <f>INDEX('6pow. 50 r.ż.'!B3:G28,MATCH(3,B4:B29,0),3)</f>
        <v>279</v>
      </c>
      <c r="F6" s="6">
        <f>INDEX('6pow. 50 r.ż.'!B3:G28,MATCH(3,B4:B29,0),4)</f>
        <v>7</v>
      </c>
      <c r="G6" s="42">
        <f>INDEX('6pow. 50 r.ż.'!B3:G28,MATCH(3,B4:B29,0),5)</f>
        <v>292</v>
      </c>
      <c r="H6" s="6">
        <f>INDEX('6pow. 50 r.ż.'!B3:G28,MATCH(3,B4:B29,0),6)</f>
        <v>-6</v>
      </c>
    </row>
    <row r="7" spans="2:8" x14ac:dyDescent="0.2">
      <c r="B7" s="6">
        <f>RANK('6pow. 50 r.ż.'!C6,'6pow. 50 r.ż.'!$C$3:'6pow. 50 r.ż.'!$C$28,1)+COUNTIF('6pow. 50 r.ż.'!$C$3:'6pow. 50 r.ż.'!C6,'6pow. 50 r.ż.'!C6)-1</f>
        <v>24</v>
      </c>
      <c r="C7" s="5" t="str">
        <f>INDEX('6pow. 50 r.ż.'!B3:G28,MATCH(4,B4:B29,0),1)</f>
        <v xml:space="preserve">tarnobrzeski </v>
      </c>
      <c r="D7" s="6">
        <f>INDEX('6pow. 50 r.ż.'!B3:G28,MATCH(4,B4:B29,0),2)</f>
        <v>349</v>
      </c>
      <c r="E7" s="42">
        <f>INDEX('6pow. 50 r.ż.'!B3:G28,MATCH(4,B4:B29,0),3)</f>
        <v>342</v>
      </c>
      <c r="F7" s="6">
        <f>INDEX('6pow. 50 r.ż.'!B3:G28,MATCH(4,B4:B29,0),4)</f>
        <v>7</v>
      </c>
      <c r="G7" s="42">
        <f>INDEX('6pow. 50 r.ż.'!B3:G28,MATCH(4,B4:B29,0),5)</f>
        <v>340</v>
      </c>
      <c r="H7" s="6">
        <f>INDEX('6pow. 50 r.ż.'!B3:G28,MATCH(4,B4:B29,0),6)</f>
        <v>9</v>
      </c>
    </row>
    <row r="8" spans="2:8" x14ac:dyDescent="0.2">
      <c r="B8" s="6">
        <f>RANK('6pow. 50 r.ż.'!C7,'6pow. 50 r.ż.'!$C$3:'6pow. 50 r.ż.'!$C$28,1)+COUNTIF('6pow. 50 r.ż.'!$C$3:'6pow. 50 r.ż.'!C7,'6pow. 50 r.ż.'!C7)-1</f>
        <v>23</v>
      </c>
      <c r="C8" s="5" t="str">
        <f>INDEX('6pow. 50 r.ż.'!B3:G28,MATCH(5,B4:B29,0),1)</f>
        <v>leski</v>
      </c>
      <c r="D8" s="6">
        <f>INDEX('6pow. 50 r.ż.'!B3:G28,MATCH(5,B4:B29,0),2)</f>
        <v>400</v>
      </c>
      <c r="E8" s="42">
        <f>INDEX('6pow. 50 r.ż.'!B3:G28,MATCH(5,B4:B29,0),3)</f>
        <v>404</v>
      </c>
      <c r="F8" s="6">
        <f>INDEX('6pow. 50 r.ż.'!B3:G28,MATCH(5,B4:B29,0),4)</f>
        <v>-4</v>
      </c>
      <c r="G8" s="42">
        <f>INDEX('6pow. 50 r.ż.'!B3:G28,MATCH(5,B4:B29,0),5)</f>
        <v>395</v>
      </c>
      <c r="H8" s="6">
        <f>INDEX('6pow. 50 r.ż.'!B3:G28,MATCH(5,B4:B29,0),6)</f>
        <v>5</v>
      </c>
    </row>
    <row r="9" spans="2:8" x14ac:dyDescent="0.2">
      <c r="B9" s="6">
        <f>RANK('6pow. 50 r.ż.'!C8,'6pow. 50 r.ż.'!$C$3:'6pow. 50 r.ż.'!$C$28,1)+COUNTIF('6pow. 50 r.ż.'!$C$3:'6pow. 50 r.ż.'!C8,'6pow. 50 r.ż.'!C8)-1</f>
        <v>6</v>
      </c>
      <c r="C9" s="5" t="str">
        <f>INDEX('6pow. 50 r.ż.'!B3:G28,MATCH(6,B4:B29,0),1)</f>
        <v>kolbuszowski</v>
      </c>
      <c r="D9" s="6">
        <f>INDEX('6pow. 50 r.ż.'!B3:G28,MATCH(6,B4:B29,0),2)</f>
        <v>408</v>
      </c>
      <c r="E9" s="42">
        <f>INDEX('6pow. 50 r.ż.'!B3:G28,MATCH(6,B4:B29,0),3)</f>
        <v>402</v>
      </c>
      <c r="F9" s="6">
        <f>INDEX('6pow. 50 r.ż.'!B3:G28,MATCH(6,B4:B29,0),4)</f>
        <v>6</v>
      </c>
      <c r="G9" s="42">
        <f>INDEX('6pow. 50 r.ż.'!B3:G28,MATCH(6,B4:B29,0),5)</f>
        <v>409</v>
      </c>
      <c r="H9" s="6">
        <f>INDEX('6pow. 50 r.ż.'!B3:G28,MATCH(6,B4:B29,0),6)</f>
        <v>-1</v>
      </c>
    </row>
    <row r="10" spans="2:8" x14ac:dyDescent="0.2">
      <c r="B10" s="6">
        <f>RANK('6pow. 50 r.ż.'!C9,'6pow. 50 r.ż.'!$C$3:'6pow. 50 r.ż.'!$C$28,1)+COUNTIF('6pow. 50 r.ż.'!$C$3:'6pow. 50 r.ż.'!C9,'6pow. 50 r.ż.'!C9)-1</f>
        <v>12</v>
      </c>
      <c r="C10" s="9" t="str">
        <f>INDEX('6pow. 50 r.ż.'!B3:G28,MATCH(7,B4:B29,0),1)</f>
        <v>lubaczowski</v>
      </c>
      <c r="D10" s="6">
        <f>INDEX('6pow. 50 r.ż.'!B3:G28,MATCH(7,B4:B29,0),2)</f>
        <v>430</v>
      </c>
      <c r="E10" s="42">
        <f>INDEX('6pow. 50 r.ż.'!B3:G28,MATCH(7,B4:B29,0),3)</f>
        <v>423</v>
      </c>
      <c r="F10" s="6">
        <f>INDEX('6pow. 50 r.ż.'!B3:G28,MATCH(7,B4:B29,0),4)</f>
        <v>7</v>
      </c>
      <c r="G10" s="42">
        <f>INDEX('6pow. 50 r.ż.'!B3:G28,MATCH(7,B4:B29,0),5)</f>
        <v>448</v>
      </c>
      <c r="H10" s="6">
        <f>INDEX('6pow. 50 r.ż.'!B3:G28,MATCH(7,B4:B29,0),6)</f>
        <v>-18</v>
      </c>
    </row>
    <row r="11" spans="2:8" x14ac:dyDescent="0.2">
      <c r="B11" s="6">
        <f>RANK('6pow. 50 r.ż.'!C10,'6pow. 50 r.ż.'!$C$3:'6pow. 50 r.ż.'!$C$28,1)+COUNTIF('6pow. 50 r.ż.'!$C$3:'6pow. 50 r.ż.'!C10,'6pow. 50 r.ż.'!C10)-1</f>
        <v>5</v>
      </c>
      <c r="C11" s="5" t="str">
        <f>INDEX('6pow. 50 r.ż.'!B3:G28,MATCH(8,B4:B29,0),1)</f>
        <v>dębicki</v>
      </c>
      <c r="D11" s="6">
        <f>INDEX('6pow. 50 r.ż.'!B3:G28,MATCH(8,B4:B29,0),2)</f>
        <v>515</v>
      </c>
      <c r="E11" s="42">
        <f>INDEX('6pow. 50 r.ż.'!B3:G28,MATCH(8,B4:B29,0),3)</f>
        <v>512</v>
      </c>
      <c r="F11" s="6">
        <f>INDEX('6pow. 50 r.ż.'!B3:G28,MATCH(8,B4:B29,0),4)</f>
        <v>3</v>
      </c>
      <c r="G11" s="42">
        <f>INDEX('6pow. 50 r.ż.'!B3:G28,MATCH(8,B4:B29,0),5)</f>
        <v>533</v>
      </c>
      <c r="H11" s="6">
        <f>INDEX('6pow. 50 r.ż.'!B3:G28,MATCH(8,B4:B29,0),6)</f>
        <v>-18</v>
      </c>
    </row>
    <row r="12" spans="2:8" x14ac:dyDescent="0.2">
      <c r="B12" s="6">
        <f>RANK('6pow. 50 r.ż.'!C11,'6pow. 50 r.ż.'!$C$3:'6pow. 50 r.ż.'!$C$28,1)+COUNTIF('6pow. 50 r.ż.'!$C$3:'6pow. 50 r.ż.'!C11,'6pow. 50 r.ż.'!C11)-1</f>
        <v>13</v>
      </c>
      <c r="C12" s="5" t="str">
        <f>INDEX('6pow. 50 r.ż.'!B3:G28,MATCH(9,B4:B29,0),1)</f>
        <v>stalowowolski</v>
      </c>
      <c r="D12" s="6">
        <f>INDEX('6pow. 50 r.ż.'!B3:G28,MATCH(9,B4:B29,0),2)</f>
        <v>545</v>
      </c>
      <c r="E12" s="42">
        <f>INDEX('6pow. 50 r.ż.'!B3:G28,MATCH(9,B4:B29,0),3)</f>
        <v>544</v>
      </c>
      <c r="F12" s="6">
        <f>INDEX('6pow. 50 r.ż.'!B3:G28,MATCH(9,B4:B29,0),4)</f>
        <v>1</v>
      </c>
      <c r="G12" s="42">
        <f>INDEX('6pow. 50 r.ż.'!B3:G28,MATCH(9,B4:B29,0),5)</f>
        <v>486</v>
      </c>
      <c r="H12" s="6">
        <f>INDEX('6pow. 50 r.ż.'!B3:G28,MATCH(9,B4:B29,0),6)</f>
        <v>59</v>
      </c>
    </row>
    <row r="13" spans="2:8" x14ac:dyDescent="0.2">
      <c r="B13" s="6">
        <f>RANK('6pow. 50 r.ż.'!C12,'6pow. 50 r.ż.'!$C$3:'6pow. 50 r.ż.'!$C$28,1)+COUNTIF('6pow. 50 r.ż.'!$C$3:'6pow. 50 r.ż.'!C12,'6pow. 50 r.ż.'!C12)-1</f>
        <v>7</v>
      </c>
      <c r="C13" s="5" t="str">
        <f>INDEX('6pow. 50 r.ż.'!B3:G28,MATCH(10,B4:B29,0),1)</f>
        <v>łańcucki</v>
      </c>
      <c r="D13" s="6">
        <f>INDEX('6pow. 50 r.ż.'!B3:G28,MATCH(10,B4:B29,0),2)</f>
        <v>573</v>
      </c>
      <c r="E13" s="42">
        <f>INDEX('6pow. 50 r.ż.'!B3:G28,MATCH(10,B4:B29,0),3)</f>
        <v>583</v>
      </c>
      <c r="F13" s="6">
        <f>INDEX('6pow. 50 r.ż.'!B3:G28,MATCH(10,B4:B29,0),4)</f>
        <v>-10</v>
      </c>
      <c r="G13" s="42">
        <f>INDEX('6pow. 50 r.ż.'!B3:G28,MATCH(10,B4:B29,0),5)</f>
        <v>538</v>
      </c>
      <c r="H13" s="6">
        <f>INDEX('6pow. 50 r.ż.'!B3:G28,MATCH(10,B4:B29,0),6)</f>
        <v>35</v>
      </c>
    </row>
    <row r="14" spans="2:8" x14ac:dyDescent="0.2">
      <c r="B14" s="6">
        <f>RANK('6pow. 50 r.ż.'!C13,'6pow. 50 r.ż.'!$C$3:'6pow. 50 r.ż.'!$C$28,1)+COUNTIF('6pow. 50 r.ż.'!$C$3:'6pow. 50 r.ż.'!C13,'6pow. 50 r.ż.'!C13)-1</f>
        <v>10</v>
      </c>
      <c r="C14" s="5" t="str">
        <f>INDEX('6pow. 50 r.ż.'!B3:G28,MATCH(11,B4:B29,0),1)</f>
        <v>ropczycko-sędziszowski</v>
      </c>
      <c r="D14" s="6">
        <f>INDEX('6pow. 50 r.ż.'!B3:G28,MATCH(11,B4:B29,0),2)</f>
        <v>576</v>
      </c>
      <c r="E14" s="42">
        <f>INDEX('6pow. 50 r.ż.'!B3:G28,MATCH(11,B4:B29,0),3)</f>
        <v>571</v>
      </c>
      <c r="F14" s="6">
        <f>INDEX('6pow. 50 r.ż.'!B3:G28,MATCH(11,B4:B29,0),4)</f>
        <v>5</v>
      </c>
      <c r="G14" s="42">
        <f>INDEX('6pow. 50 r.ż.'!B3:G28,MATCH(11,B4:B29,0),5)</f>
        <v>570</v>
      </c>
      <c r="H14" s="6">
        <f>INDEX('6pow. 50 r.ż.'!B3:G28,MATCH(11,B4:B29,0),6)</f>
        <v>6</v>
      </c>
    </row>
    <row r="15" spans="2:8" x14ac:dyDescent="0.2">
      <c r="B15" s="6">
        <f>RANK('6pow. 50 r.ż.'!C14,'6pow. 50 r.ż.'!$C$3:'6pow. 50 r.ż.'!$C$28,1)+COUNTIF('6pow. 50 r.ż.'!$C$3:'6pow. 50 r.ż.'!C14,'6pow. 50 r.ż.'!C14)-1</f>
        <v>20</v>
      </c>
      <c r="C15" s="5" t="str">
        <f>INDEX('6pow. 50 r.ż.'!B3:G28,MATCH(12,B4:B29,0),1)</f>
        <v>krośnieński</v>
      </c>
      <c r="D15" s="6">
        <f>INDEX('6pow. 50 r.ż.'!B3:G28,MATCH(12,B4:B29,0),2)</f>
        <v>655</v>
      </c>
      <c r="E15" s="42">
        <f>INDEX('6pow. 50 r.ż.'!B3:G28,MATCH(12,B4:B29,0),3)</f>
        <v>651</v>
      </c>
      <c r="F15" s="6">
        <f>INDEX('6pow. 50 r.ż.'!B3:G28,MATCH(12,B4:B29,0),4)</f>
        <v>4</v>
      </c>
      <c r="G15" s="42">
        <f>INDEX('6pow. 50 r.ż.'!B3:G28,MATCH(12,B4:B29,0),5)</f>
        <v>577</v>
      </c>
      <c r="H15" s="6">
        <f>INDEX('6pow. 50 r.ż.'!B3:G28,MATCH(12,B4:B29,0),6)</f>
        <v>78</v>
      </c>
    </row>
    <row r="16" spans="2:8" x14ac:dyDescent="0.2">
      <c r="B16" s="6">
        <f>RANK('6pow. 50 r.ż.'!C15,'6pow. 50 r.ż.'!$C$3:'6pow. 50 r.ż.'!$C$28,1)+COUNTIF('6pow. 50 r.ż.'!$C$3:'6pow. 50 r.ż.'!C15,'6pow. 50 r.ż.'!C15)-1</f>
        <v>15</v>
      </c>
      <c r="C16" s="5" t="str">
        <f>INDEX('6pow. 50 r.ż.'!B3:G28,MATCH(13,B4:B29,0),1)</f>
        <v>leżajski</v>
      </c>
      <c r="D16" s="6">
        <f>INDEX('6pow. 50 r.ż.'!B3:G28,MATCH(13,B4:B29,0),2)</f>
        <v>664</v>
      </c>
      <c r="E16" s="42">
        <f>INDEX('6pow. 50 r.ż.'!B3:G28,MATCH(13,B4:B29,0),3)</f>
        <v>662</v>
      </c>
      <c r="F16" s="6">
        <f>INDEX('6pow. 50 r.ż.'!B3:G28,MATCH(13,B4:B29,0),4)</f>
        <v>2</v>
      </c>
      <c r="G16" s="42">
        <f>INDEX('6pow. 50 r.ż.'!B3:G28,MATCH(13,B4:B29,0),5)</f>
        <v>655</v>
      </c>
      <c r="H16" s="6">
        <f>INDEX('6pow. 50 r.ż.'!B3:G28,MATCH(13,B4:B29,0),6)</f>
        <v>9</v>
      </c>
    </row>
    <row r="17" spans="2:8" x14ac:dyDescent="0.2">
      <c r="B17" s="6">
        <f>RANK('6pow. 50 r.ż.'!C16,'6pow. 50 r.ż.'!$C$3:'6pow. 50 r.ż.'!$C$28,1)+COUNTIF('6pow. 50 r.ż.'!$C$3:'6pow. 50 r.ż.'!C16,'6pow. 50 r.ż.'!C16)-1</f>
        <v>17</v>
      </c>
      <c r="C17" s="5" t="str">
        <f>INDEX('6pow. 50 r.ż.'!B3:G28,MATCH(14,B4:B29,0),1)</f>
        <v>sanocki</v>
      </c>
      <c r="D17" s="6">
        <f>INDEX('6pow. 50 r.ż.'!B3:G28,MATCH(14,B4:B29,0),2)</f>
        <v>665</v>
      </c>
      <c r="E17" s="42">
        <f>INDEX('6pow. 50 r.ż.'!B3:G28,MATCH(14,B4:B29,0),3)</f>
        <v>660</v>
      </c>
      <c r="F17" s="6">
        <f>INDEX('6pow. 50 r.ż.'!B3:G28,MATCH(14,B4:B29,0),4)</f>
        <v>5</v>
      </c>
      <c r="G17" s="42">
        <f>INDEX('6pow. 50 r.ż.'!B3:G28,MATCH(14,B4:B29,0),5)</f>
        <v>601</v>
      </c>
      <c r="H17" s="6">
        <f>INDEX('6pow. 50 r.ż.'!B3:G28,MATCH(14,B4:B29,0),6)</f>
        <v>64</v>
      </c>
    </row>
    <row r="18" spans="2:8" x14ac:dyDescent="0.2">
      <c r="B18" s="6">
        <f>RANK('6pow. 50 r.ż.'!C17,'6pow. 50 r.ż.'!$C$3:'6pow. 50 r.ż.'!$C$28,1)+COUNTIF('6pow. 50 r.ż.'!$C$3:'6pow. 50 r.ż.'!C17,'6pow. 50 r.ż.'!C17)-1</f>
        <v>18</v>
      </c>
      <c r="C18" s="5" t="str">
        <f>INDEX('6pow. 50 r.ż.'!B3:G28,MATCH(15,B4:B29,0),1)</f>
        <v>niżański</v>
      </c>
      <c r="D18" s="6">
        <f>INDEX('6pow. 50 r.ż.'!B3:G28,MATCH(15,B4:B29,0),2)</f>
        <v>685</v>
      </c>
      <c r="E18" s="42">
        <f>INDEX('6pow. 50 r.ż.'!B3:G28,MATCH(15,B4:B29,0),3)</f>
        <v>681</v>
      </c>
      <c r="F18" s="6">
        <f>INDEX('6pow. 50 r.ż.'!B3:G28,MATCH(15,B4:B29,0),4)</f>
        <v>4</v>
      </c>
      <c r="G18" s="42">
        <f>INDEX('6pow. 50 r.ż.'!B3:G28,MATCH(15,B4:B29,0),5)</f>
        <v>661</v>
      </c>
      <c r="H18" s="6">
        <f>INDEX('6pow. 50 r.ż.'!B3:G28,MATCH(15,B4:B29,0),6)</f>
        <v>24</v>
      </c>
    </row>
    <row r="19" spans="2:8" x14ac:dyDescent="0.2">
      <c r="B19" s="6">
        <f>RANK('6pow. 50 r.ż.'!C18,'6pow. 50 r.ż.'!$C$3:'6pow. 50 r.ż.'!$C$28,1)+COUNTIF('6pow. 50 r.ż.'!$C$3:'6pow. 50 r.ż.'!C18,'6pow. 50 r.ż.'!C18)-1</f>
        <v>11</v>
      </c>
      <c r="C19" s="5" t="str">
        <f>INDEX('6pow. 50 r.ż.'!B3:G28,MATCH(16,B4:B29,0),1)</f>
        <v>Przemyśl</v>
      </c>
      <c r="D19" s="6">
        <f>INDEX('6pow. 50 r.ż.'!B3:G28,MATCH(16,B4:B29,0),2)</f>
        <v>705</v>
      </c>
      <c r="E19" s="42">
        <f>INDEX('6pow. 50 r.ż.'!B3:G28,MATCH(16,B4:B29,0),3)</f>
        <v>713</v>
      </c>
      <c r="F19" s="6">
        <f>INDEX('6pow. 50 r.ż.'!B3:G28,MATCH(16,B4:B29,0),4)</f>
        <v>-8</v>
      </c>
      <c r="G19" s="42">
        <f>INDEX('6pow. 50 r.ż.'!B3:G28,MATCH(16,B4:B29,0),5)</f>
        <v>680</v>
      </c>
      <c r="H19" s="6">
        <f>INDEX('6pow. 50 r.ż.'!B3:G28,MATCH(16,B4:B29,0),6)</f>
        <v>25</v>
      </c>
    </row>
    <row r="20" spans="2:8" x14ac:dyDescent="0.2">
      <c r="B20" s="6">
        <f>RANK('6pow. 50 r.ż.'!C19,'6pow. 50 r.ż.'!$C$3:'6pow. 50 r.ż.'!$C$28,1)+COUNTIF('6pow. 50 r.ż.'!$C$3:'6pow. 50 r.ż.'!C19,'6pow. 50 r.ż.'!C19)-1</f>
        <v>22</v>
      </c>
      <c r="C20" s="5" t="str">
        <f>INDEX('6pow. 50 r.ż.'!B3:G28,MATCH(17,B4:B29,0),1)</f>
        <v>przemyski</v>
      </c>
      <c r="D20" s="6">
        <f>INDEX('6pow. 50 r.ż.'!B3:G28,MATCH(17,B4:B29,0),2)</f>
        <v>724</v>
      </c>
      <c r="E20" s="42">
        <f>INDEX('6pow. 50 r.ż.'!B3:G28,MATCH(17,B4:B29,0),3)</f>
        <v>714</v>
      </c>
      <c r="F20" s="6">
        <f>INDEX('6pow. 50 r.ż.'!B3:G28,MATCH(17,B4:B29,0),4)</f>
        <v>10</v>
      </c>
      <c r="G20" s="42">
        <f>INDEX('6pow. 50 r.ż.'!B3:G28,MATCH(17,B4:B29,0),5)</f>
        <v>674</v>
      </c>
      <c r="H20" s="6">
        <f>INDEX('6pow. 50 r.ż.'!B3:G28,MATCH(17,B4:B29,0),6)</f>
        <v>50</v>
      </c>
    </row>
    <row r="21" spans="2:8" x14ac:dyDescent="0.2">
      <c r="B21" s="6">
        <f>RANK('6pow. 50 r.ż.'!C20,'6pow. 50 r.ż.'!$C$3:'6pow. 50 r.ż.'!$C$28,1)+COUNTIF('6pow. 50 r.ż.'!$C$3:'6pow. 50 r.ż.'!C20,'6pow. 50 r.ż.'!C20)-1</f>
        <v>14</v>
      </c>
      <c r="C21" s="5" t="str">
        <f>INDEX('6pow. 50 r.ż.'!B3:G28,MATCH(18,B4:B29,0),1)</f>
        <v>przeworski</v>
      </c>
      <c r="D21" s="6">
        <f>INDEX('6pow. 50 r.ż.'!B3:G28,MATCH(18,B4:B29,0),2)</f>
        <v>738</v>
      </c>
      <c r="E21" s="42">
        <f>INDEX('6pow. 50 r.ż.'!B3:G28,MATCH(18,B4:B29,0),3)</f>
        <v>726</v>
      </c>
      <c r="F21" s="6">
        <f>INDEX('6pow. 50 r.ż.'!B3:G28,MATCH(18,B4:B29,0),4)</f>
        <v>12</v>
      </c>
      <c r="G21" s="42">
        <f>INDEX('6pow. 50 r.ż.'!B3:G28,MATCH(18,B4:B29,0),5)</f>
        <v>690</v>
      </c>
      <c r="H21" s="6">
        <f>INDEX('6pow. 50 r.ż.'!B3:G28,MATCH(18,B4:B29,0),6)</f>
        <v>48</v>
      </c>
    </row>
    <row r="22" spans="2:8" x14ac:dyDescent="0.2">
      <c r="B22" s="6">
        <f>RANK('6pow. 50 r.ż.'!C21,'6pow. 50 r.ż.'!$C$3:'6pow. 50 r.ż.'!$C$28,1)+COUNTIF('6pow. 50 r.ż.'!$C$3:'6pow. 50 r.ż.'!C21,'6pow. 50 r.ż.'!C21)-1</f>
        <v>9</v>
      </c>
      <c r="C22" s="5" t="str">
        <f>INDEX('6pow. 50 r.ż.'!B3:G28,MATCH(19,B4:B29,0),1)</f>
        <v>strzyżowski</v>
      </c>
      <c r="D22" s="6">
        <f>INDEX('6pow. 50 r.ż.'!B3:G28,MATCH(19,B4:B29,0),2)</f>
        <v>754</v>
      </c>
      <c r="E22" s="42">
        <f>INDEX('6pow. 50 r.ż.'!B3:G28,MATCH(19,B4:B29,0),3)</f>
        <v>742</v>
      </c>
      <c r="F22" s="6">
        <f>INDEX('6pow. 50 r.ż.'!B3:G28,MATCH(19,B4:B29,0),4)</f>
        <v>12</v>
      </c>
      <c r="G22" s="42">
        <f>INDEX('6pow. 50 r.ż.'!B3:G28,MATCH(19,B4:B29,0),5)</f>
        <v>684</v>
      </c>
      <c r="H22" s="6">
        <f>INDEX('6pow. 50 r.ż.'!B3:G28,MATCH(19,B4:B29,0),6)</f>
        <v>70</v>
      </c>
    </row>
    <row r="23" spans="2:8" x14ac:dyDescent="0.2">
      <c r="B23" s="6">
        <f>RANK('6pow. 50 r.ż.'!C22,'6pow. 50 r.ż.'!$C$3:'6pow. 50 r.ż.'!$C$28,1)+COUNTIF('6pow. 50 r.ż.'!$C$3:'6pow. 50 r.ż.'!C22,'6pow. 50 r.ż.'!C22)-1</f>
        <v>19</v>
      </c>
      <c r="C23" s="5" t="str">
        <f>INDEX('6pow. 50 r.ż.'!B3:G28,MATCH(20,B4:B29,0),1)</f>
        <v>mielecki</v>
      </c>
      <c r="D23" s="6">
        <f>INDEX('6pow. 50 r.ż.'!B3:G28,MATCH(20,B4:B29,0),2)</f>
        <v>783</v>
      </c>
      <c r="E23" s="42">
        <f>INDEX('6pow. 50 r.ż.'!B3:G28,MATCH(20,B4:B29,0),3)</f>
        <v>771</v>
      </c>
      <c r="F23" s="6">
        <f>INDEX('6pow. 50 r.ż.'!B3:G28,MATCH(20,B4:B29,0),4)</f>
        <v>12</v>
      </c>
      <c r="G23" s="42">
        <f>INDEX('6pow. 50 r.ż.'!B3:G28,MATCH(20,B4:B29,0),5)</f>
        <v>706</v>
      </c>
      <c r="H23" s="6">
        <f>INDEX('6pow. 50 r.ż.'!B3:G28,MATCH(20,B4:B29,0),6)</f>
        <v>77</v>
      </c>
    </row>
    <row r="24" spans="2:8" x14ac:dyDescent="0.2">
      <c r="B24" s="6">
        <f>RANK('6pow. 50 r.ż.'!C23,'6pow. 50 r.ż.'!$C$3:'6pow. 50 r.ż.'!$C$28,1)+COUNTIF('6pow. 50 r.ż.'!$C$3:'6pow. 50 r.ż.'!C23,'6pow. 50 r.ż.'!C23)-1</f>
        <v>4</v>
      </c>
      <c r="C24" s="5" t="str">
        <f>INDEX('6pow. 50 r.ż.'!B3:G28,MATCH(21,B4:B29,0),1)</f>
        <v>brzozowski</v>
      </c>
      <c r="D24" s="6">
        <f>INDEX('6pow. 50 r.ż.'!B3:G28,MATCH(21,B4:B29,0),2)</f>
        <v>854</v>
      </c>
      <c r="E24" s="42">
        <f>INDEX('6pow. 50 r.ż.'!B3:G28,MATCH(21,B4:B29,0),3)</f>
        <v>858</v>
      </c>
      <c r="F24" s="6">
        <f>INDEX('6pow. 50 r.ż.'!B3:G28,MATCH(21,B4:B29,0),4)</f>
        <v>-4</v>
      </c>
      <c r="G24" s="42">
        <f>INDEX('6pow. 50 r.ż.'!B3:G28,MATCH(21,B4:B29,0),5)</f>
        <v>852</v>
      </c>
      <c r="H24" s="6">
        <f>INDEX('6pow. 50 r.ż.'!B3:G28,MATCH(21,B4:B29,0),6)</f>
        <v>2</v>
      </c>
    </row>
    <row r="25" spans="2:8" x14ac:dyDescent="0.2">
      <c r="B25" s="6">
        <f>RANK('6pow. 50 r.ż.'!C24,'6pow. 50 r.ż.'!$C$3:'6pow. 50 r.ż.'!$C$28,1)+COUNTIF('6pow. 50 r.ż.'!$C$3:'6pow. 50 r.ż.'!C24,'6pow. 50 r.ż.'!C24)-1</f>
        <v>1</v>
      </c>
      <c r="C25" s="5" t="str">
        <f>INDEX('6pow. 50 r.ż.'!B3:G28,MATCH(22,B4:B29,0),1)</f>
        <v>rzeszowski</v>
      </c>
      <c r="D25" s="6">
        <f>INDEX('6pow. 50 r.ż.'!B3:G28,MATCH(22,B4:B29,0),2)</f>
        <v>1084</v>
      </c>
      <c r="E25" s="42">
        <f>INDEX('6pow. 50 r.ż.'!B3:G28,MATCH(22,B4:B29,0),3)</f>
        <v>1078</v>
      </c>
      <c r="F25" s="6">
        <f>INDEX('6pow. 50 r.ż.'!B3:G28,MATCH(22,B4:B29,0),4)</f>
        <v>6</v>
      </c>
      <c r="G25" s="42">
        <f>INDEX('6pow. 50 r.ż.'!B3:G28,MATCH(22,B4:B29,0),5)</f>
        <v>1056</v>
      </c>
      <c r="H25" s="6">
        <f>INDEX('6pow. 50 r.ż.'!B3:G28,MATCH(22,B4:B29,0),6)</f>
        <v>28</v>
      </c>
    </row>
    <row r="26" spans="2:8" x14ac:dyDescent="0.2">
      <c r="B26" s="6">
        <f>RANK('6pow. 50 r.ż.'!C25,'6pow. 50 r.ż.'!$C$3:'6pow. 50 r.ż.'!$C$28,1)+COUNTIF('6pow. 50 r.ż.'!$C$3:'6pow. 50 r.ż.'!C25,'6pow. 50 r.ż.'!C25)-1</f>
        <v>16</v>
      </c>
      <c r="C26" s="5" t="str">
        <f>INDEX('6pow. 50 r.ż.'!B3:G28,MATCH(23,B4:B29,0),1)</f>
        <v>jasielski</v>
      </c>
      <c r="D26" s="6">
        <f>INDEX('6pow. 50 r.ż.'!B3:G28,MATCH(23,B4:B29,0),2)</f>
        <v>1103</v>
      </c>
      <c r="E26" s="42">
        <f>INDEX('6pow. 50 r.ż.'!B3:G28,MATCH(23,B4:B29,0),3)</f>
        <v>1083</v>
      </c>
      <c r="F26" s="6">
        <f>INDEX('6pow. 50 r.ż.'!B3:G28,MATCH(23,B4:B29,0),4)</f>
        <v>20</v>
      </c>
      <c r="G26" s="42">
        <f>INDEX('6pow. 50 r.ż.'!B3:G28,MATCH(23,B4:B29,0),5)</f>
        <v>1061</v>
      </c>
      <c r="H26" s="6">
        <f>INDEX('6pow. 50 r.ż.'!B3:G28,MATCH(23,B4:B29,0),6)</f>
        <v>42</v>
      </c>
    </row>
    <row r="27" spans="2:8" x14ac:dyDescent="0.2">
      <c r="B27" s="6">
        <f>RANK('6pow. 50 r.ż.'!C26,'6pow. 50 r.ż.'!$C$3:'6pow. 50 r.ż.'!$C$28,1)+COUNTIF('6pow. 50 r.ż.'!$C$3:'6pow. 50 r.ż.'!C26,'6pow. 50 r.ż.'!C26)-1</f>
        <v>25</v>
      </c>
      <c r="C27" s="5" t="str">
        <f>INDEX('6pow. 50 r.ż.'!B3:G28,MATCH(24,B4:B29,0),1)</f>
        <v>jarosławski</v>
      </c>
      <c r="D27" s="6">
        <f>INDEX('6pow. 50 r.ż.'!B3:G28,MATCH(24,B4:B29,0),2)</f>
        <v>1104</v>
      </c>
      <c r="E27" s="42">
        <f>INDEX('6pow. 50 r.ż.'!B3:G28,MATCH(24,B4:B29,0),3)</f>
        <v>1097</v>
      </c>
      <c r="F27" s="6">
        <f>INDEX('6pow. 50 r.ż.'!B3:G28,MATCH(24,B4:B29,0),4)</f>
        <v>7</v>
      </c>
      <c r="G27" s="42">
        <f>INDEX('6pow. 50 r.ż.'!B3:G28,MATCH(24,B4:B29,0),5)</f>
        <v>1068</v>
      </c>
      <c r="H27" s="6">
        <f>INDEX('6pow. 50 r.ż.'!B3:G28,MATCH(24,B4:B29,0),6)</f>
        <v>36</v>
      </c>
    </row>
    <row r="28" spans="2:8" x14ac:dyDescent="0.2">
      <c r="B28" s="6">
        <f>RANK('6pow. 50 r.ż.'!C27,'6pow. 50 r.ż.'!$C$3:'6pow. 50 r.ż.'!$C$28,1)+COUNTIF('6pow. 50 r.ż.'!$C$3:'6pow. 50 r.ż.'!C27,'6pow. 50 r.ż.'!C27)-1</f>
        <v>3</v>
      </c>
      <c r="C28" s="5" t="str">
        <f>INDEX('6pow. 50 r.ż.'!B3:G28,MATCH(25,B4:B29,0),1)</f>
        <v>Rzeszów</v>
      </c>
      <c r="D28" s="6">
        <f>INDEX('6pow. 50 r.ż.'!B3:G28,MATCH(25,B4:B29,0),2)</f>
        <v>1325</v>
      </c>
      <c r="E28" s="42">
        <f>INDEX('6pow. 50 r.ż.'!B3:G28,MATCH(25,B4:B29,0),3)</f>
        <v>1310</v>
      </c>
      <c r="F28" s="6">
        <f>INDEX('6pow. 50 r.ż.'!B3:G28,MATCH(25,B4:B29,0),4)</f>
        <v>15</v>
      </c>
      <c r="G28" s="42">
        <f>INDEX('6pow. 50 r.ż.'!B3:G28,MATCH(25,B4:B29,0),5)</f>
        <v>1319</v>
      </c>
      <c r="H28" s="6">
        <f>INDEX('6pow. 50 r.ż.'!B3:G28,MATCH(25,B4:B29,0),6)</f>
        <v>6</v>
      </c>
    </row>
    <row r="29" spans="2:8" ht="15" x14ac:dyDescent="0.25">
      <c r="B29" s="40">
        <f>RANK('6pow. 50 r.ż.'!C28,'6pow. 50 r.ż.'!$C$3:'6pow. 50 r.ż.'!$C$28,1)+COUNTIF('6pow. 50 r.ż.'!$C$3:'6pow. 50 r.ż.'!C28,'6pow. 50 r.ż.'!C28)-1</f>
        <v>26</v>
      </c>
      <c r="C29" s="39" t="str">
        <f>INDEX('6pow. 50 r.ż.'!B3:G28,MATCH(26,B4:B29,0),1)</f>
        <v>województwo</v>
      </c>
      <c r="D29" s="40">
        <f>INDEX('6pow. 50 r.ż.'!B3:G28,MATCH(26,B4:B29,0),2)</f>
        <v>16375</v>
      </c>
      <c r="E29" s="44">
        <f>INDEX('6pow. 50 r.ż.'!B3:G28,MATCH(26,B4:B29,0),3)</f>
        <v>16258</v>
      </c>
      <c r="F29" s="40">
        <f>INDEX('6pow. 50 r.ż.'!B3:G28,MATCH(26,B4:B29,0),4)</f>
        <v>117</v>
      </c>
      <c r="G29" s="44">
        <f>INDEX('6pow. 50 r.ż.'!B3:G28,MATCH(26,B4:B29,0),5)</f>
        <v>15721</v>
      </c>
      <c r="H29" s="40">
        <f>INDEX('6pow. 50 r.ż.'!B3:G28,MATCH(26,B4:B29,0),6)</f>
        <v>654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3" width="13.140625" style="3" customWidth="1"/>
    <col min="4" max="4" width="12.42578125" style="3" customWidth="1"/>
    <col min="5" max="5" width="16.140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25"/>
      <c r="D1" s="25"/>
      <c r="E1" s="25"/>
      <c r="F1" s="25"/>
      <c r="G1" s="25"/>
    </row>
    <row r="2" spans="2:8" ht="57" x14ac:dyDescent="0.2">
      <c r="B2" s="36" t="s">
        <v>27</v>
      </c>
      <c r="C2" s="37" t="s">
        <v>95</v>
      </c>
      <c r="D2" s="38" t="s">
        <v>76</v>
      </c>
      <c r="E2" s="37" t="s">
        <v>28</v>
      </c>
      <c r="F2" s="38" t="s">
        <v>96</v>
      </c>
      <c r="G2" s="37" t="s">
        <v>26</v>
      </c>
    </row>
    <row r="3" spans="2:8" x14ac:dyDescent="0.2">
      <c r="B3" s="5" t="s">
        <v>0</v>
      </c>
      <c r="C3" s="28">
        <v>8</v>
      </c>
      <c r="D3" s="42">
        <v>36</v>
      </c>
      <c r="E3" s="28">
        <f t="shared" ref="E3:E27" si="0">SUM(C3)-D3</f>
        <v>-28</v>
      </c>
      <c r="F3" s="42">
        <v>61</v>
      </c>
      <c r="G3" s="28">
        <f t="shared" ref="G3:G27" si="1">SUM(C3)-F3</f>
        <v>-53</v>
      </c>
      <c r="H3" s="7"/>
    </row>
    <row r="4" spans="2:8" x14ac:dyDescent="0.2">
      <c r="B4" s="5" t="s">
        <v>1</v>
      </c>
      <c r="C4" s="28">
        <v>6</v>
      </c>
      <c r="D4" s="42">
        <v>77</v>
      </c>
      <c r="E4" s="28">
        <f t="shared" si="0"/>
        <v>-71</v>
      </c>
      <c r="F4" s="42">
        <v>79</v>
      </c>
      <c r="G4" s="28">
        <f t="shared" si="1"/>
        <v>-73</v>
      </c>
      <c r="H4" s="7"/>
    </row>
    <row r="5" spans="2:8" x14ac:dyDescent="0.2">
      <c r="B5" s="5" t="s">
        <v>2</v>
      </c>
      <c r="C5" s="28">
        <v>136</v>
      </c>
      <c r="D5" s="42">
        <v>274</v>
      </c>
      <c r="E5" s="28">
        <f t="shared" si="0"/>
        <v>-138</v>
      </c>
      <c r="F5" s="42">
        <v>287</v>
      </c>
      <c r="G5" s="28">
        <f t="shared" si="1"/>
        <v>-151</v>
      </c>
      <c r="H5" s="7"/>
    </row>
    <row r="6" spans="2:8" x14ac:dyDescent="0.2">
      <c r="B6" s="5" t="s">
        <v>3</v>
      </c>
      <c r="C6" s="28">
        <v>63</v>
      </c>
      <c r="D6" s="42">
        <v>82</v>
      </c>
      <c r="E6" s="28">
        <f t="shared" si="0"/>
        <v>-19</v>
      </c>
      <c r="F6" s="42">
        <v>133</v>
      </c>
      <c r="G6" s="28">
        <f t="shared" si="1"/>
        <v>-70</v>
      </c>
      <c r="H6" s="7"/>
    </row>
    <row r="7" spans="2:8" x14ac:dyDescent="0.2">
      <c r="B7" s="5" t="s">
        <v>4</v>
      </c>
      <c r="C7" s="28">
        <v>134</v>
      </c>
      <c r="D7" s="42">
        <v>274</v>
      </c>
      <c r="E7" s="28">
        <f t="shared" si="0"/>
        <v>-140</v>
      </c>
      <c r="F7" s="42">
        <v>201</v>
      </c>
      <c r="G7" s="28">
        <f t="shared" si="1"/>
        <v>-67</v>
      </c>
      <c r="H7" s="7"/>
    </row>
    <row r="8" spans="2:8" x14ac:dyDescent="0.2">
      <c r="B8" s="5" t="s">
        <v>5</v>
      </c>
      <c r="C8" s="28">
        <v>27</v>
      </c>
      <c r="D8" s="42">
        <v>58</v>
      </c>
      <c r="E8" s="28">
        <f t="shared" si="0"/>
        <v>-31</v>
      </c>
      <c r="F8" s="42">
        <v>72</v>
      </c>
      <c r="G8" s="28">
        <f t="shared" si="1"/>
        <v>-45</v>
      </c>
      <c r="H8" s="7"/>
    </row>
    <row r="9" spans="2:8" x14ac:dyDescent="0.2">
      <c r="B9" s="9" t="s">
        <v>6</v>
      </c>
      <c r="C9" s="28">
        <v>31</v>
      </c>
      <c r="D9" s="42">
        <v>43</v>
      </c>
      <c r="E9" s="28">
        <f t="shared" si="0"/>
        <v>-12</v>
      </c>
      <c r="F9" s="42">
        <v>108</v>
      </c>
      <c r="G9" s="28">
        <f t="shared" si="1"/>
        <v>-77</v>
      </c>
      <c r="H9" s="7"/>
    </row>
    <row r="10" spans="2:8" x14ac:dyDescent="0.2">
      <c r="B10" s="5" t="s">
        <v>7</v>
      </c>
      <c r="C10" s="28">
        <v>22</v>
      </c>
      <c r="D10" s="42">
        <v>47</v>
      </c>
      <c r="E10" s="28">
        <f t="shared" si="0"/>
        <v>-25</v>
      </c>
      <c r="F10" s="42">
        <v>42</v>
      </c>
      <c r="G10" s="28">
        <f t="shared" si="1"/>
        <v>-20</v>
      </c>
      <c r="H10" s="7"/>
    </row>
    <row r="11" spans="2:8" x14ac:dyDescent="0.2">
      <c r="B11" s="5" t="s">
        <v>8</v>
      </c>
      <c r="C11" s="28">
        <v>35</v>
      </c>
      <c r="D11" s="42">
        <v>36</v>
      </c>
      <c r="E11" s="28">
        <f t="shared" si="0"/>
        <v>-1</v>
      </c>
      <c r="F11" s="42">
        <v>83</v>
      </c>
      <c r="G11" s="28">
        <f t="shared" si="1"/>
        <v>-48</v>
      </c>
      <c r="H11" s="7"/>
    </row>
    <row r="12" spans="2:8" x14ac:dyDescent="0.2">
      <c r="B12" s="5" t="s">
        <v>9</v>
      </c>
      <c r="C12" s="28">
        <v>23</v>
      </c>
      <c r="D12" s="42">
        <v>148</v>
      </c>
      <c r="E12" s="28">
        <f t="shared" si="0"/>
        <v>-125</v>
      </c>
      <c r="F12" s="42">
        <v>64</v>
      </c>
      <c r="G12" s="28">
        <f t="shared" si="1"/>
        <v>-41</v>
      </c>
      <c r="H12" s="7"/>
    </row>
    <row r="13" spans="2:8" x14ac:dyDescent="0.2">
      <c r="B13" s="5" t="s">
        <v>10</v>
      </c>
      <c r="C13" s="28">
        <v>39</v>
      </c>
      <c r="D13" s="42">
        <v>79</v>
      </c>
      <c r="E13" s="28">
        <f t="shared" si="0"/>
        <v>-40</v>
      </c>
      <c r="F13" s="42">
        <v>74</v>
      </c>
      <c r="G13" s="28">
        <f t="shared" si="1"/>
        <v>-35</v>
      </c>
      <c r="H13" s="7"/>
    </row>
    <row r="14" spans="2:8" x14ac:dyDescent="0.2">
      <c r="B14" s="5" t="s">
        <v>11</v>
      </c>
      <c r="C14" s="28">
        <v>169</v>
      </c>
      <c r="D14" s="42">
        <v>236</v>
      </c>
      <c r="E14" s="28">
        <f t="shared" si="0"/>
        <v>-67</v>
      </c>
      <c r="F14" s="42">
        <v>238</v>
      </c>
      <c r="G14" s="28">
        <f t="shared" si="1"/>
        <v>-69</v>
      </c>
      <c r="H14" s="7"/>
    </row>
    <row r="15" spans="2:8" x14ac:dyDescent="0.2">
      <c r="B15" s="5" t="s">
        <v>12</v>
      </c>
      <c r="C15" s="28">
        <v>17</v>
      </c>
      <c r="D15" s="42">
        <v>57</v>
      </c>
      <c r="E15" s="28">
        <f t="shared" si="0"/>
        <v>-40</v>
      </c>
      <c r="F15" s="42">
        <v>76</v>
      </c>
      <c r="G15" s="28">
        <f t="shared" si="1"/>
        <v>-59</v>
      </c>
      <c r="H15" s="7"/>
    </row>
    <row r="16" spans="2:8" x14ac:dyDescent="0.2">
      <c r="B16" s="5" t="s">
        <v>13</v>
      </c>
      <c r="C16" s="28">
        <v>20</v>
      </c>
      <c r="D16" s="42">
        <v>25</v>
      </c>
      <c r="E16" s="28">
        <f t="shared" si="0"/>
        <v>-5</v>
      </c>
      <c r="F16" s="42">
        <v>47</v>
      </c>
      <c r="G16" s="28">
        <f t="shared" si="1"/>
        <v>-27</v>
      </c>
      <c r="H16" s="7"/>
    </row>
    <row r="17" spans="2:8" x14ac:dyDescent="0.2">
      <c r="B17" s="5" t="s">
        <v>14</v>
      </c>
      <c r="C17" s="28">
        <v>79</v>
      </c>
      <c r="D17" s="42">
        <v>271</v>
      </c>
      <c r="E17" s="28">
        <f t="shared" si="0"/>
        <v>-192</v>
      </c>
      <c r="F17" s="42">
        <v>152</v>
      </c>
      <c r="G17" s="28">
        <f t="shared" si="1"/>
        <v>-73</v>
      </c>
      <c r="H17" s="7"/>
    </row>
    <row r="18" spans="2:8" x14ac:dyDescent="0.2">
      <c r="B18" s="5" t="s">
        <v>15</v>
      </c>
      <c r="C18" s="28">
        <v>60</v>
      </c>
      <c r="D18" s="42">
        <v>99</v>
      </c>
      <c r="E18" s="28">
        <f t="shared" si="0"/>
        <v>-39</v>
      </c>
      <c r="F18" s="42">
        <v>116</v>
      </c>
      <c r="G18" s="28">
        <f t="shared" si="1"/>
        <v>-56</v>
      </c>
      <c r="H18" s="7"/>
    </row>
    <row r="19" spans="2:8" x14ac:dyDescent="0.2">
      <c r="B19" s="5" t="s">
        <v>16</v>
      </c>
      <c r="C19" s="28">
        <v>123</v>
      </c>
      <c r="D19" s="42">
        <v>147</v>
      </c>
      <c r="E19" s="28">
        <f t="shared" si="0"/>
        <v>-24</v>
      </c>
      <c r="F19" s="42">
        <v>147</v>
      </c>
      <c r="G19" s="28">
        <f t="shared" si="1"/>
        <v>-24</v>
      </c>
      <c r="H19" s="7"/>
    </row>
    <row r="20" spans="2:8" x14ac:dyDescent="0.2">
      <c r="B20" s="5" t="s">
        <v>17</v>
      </c>
      <c r="C20" s="28">
        <v>27</v>
      </c>
      <c r="D20" s="42">
        <v>64</v>
      </c>
      <c r="E20" s="28">
        <f t="shared" si="0"/>
        <v>-37</v>
      </c>
      <c r="F20" s="42">
        <v>114</v>
      </c>
      <c r="G20" s="28">
        <f t="shared" si="1"/>
        <v>-87</v>
      </c>
      <c r="H20" s="7"/>
    </row>
    <row r="21" spans="2:8" x14ac:dyDescent="0.2">
      <c r="B21" s="5" t="s">
        <v>18</v>
      </c>
      <c r="C21" s="28">
        <v>59</v>
      </c>
      <c r="D21" s="42">
        <v>128</v>
      </c>
      <c r="E21" s="28">
        <f t="shared" si="0"/>
        <v>-69</v>
      </c>
      <c r="F21" s="42">
        <v>149</v>
      </c>
      <c r="G21" s="28">
        <f t="shared" si="1"/>
        <v>-90</v>
      </c>
      <c r="H21" s="7"/>
    </row>
    <row r="22" spans="2:8" x14ac:dyDescent="0.2">
      <c r="B22" s="5" t="s">
        <v>19</v>
      </c>
      <c r="C22" s="28">
        <v>28</v>
      </c>
      <c r="D22" s="42">
        <v>87</v>
      </c>
      <c r="E22" s="28">
        <f t="shared" si="0"/>
        <v>-59</v>
      </c>
      <c r="F22" s="42">
        <v>82</v>
      </c>
      <c r="G22" s="28">
        <f t="shared" si="1"/>
        <v>-54</v>
      </c>
      <c r="H22" s="7"/>
    </row>
    <row r="23" spans="2:8" x14ac:dyDescent="0.2">
      <c r="B23" s="5" t="s">
        <v>20</v>
      </c>
      <c r="C23" s="28">
        <v>48</v>
      </c>
      <c r="D23" s="42">
        <v>32</v>
      </c>
      <c r="E23" s="28">
        <f t="shared" si="0"/>
        <v>16</v>
      </c>
      <c r="F23" s="42">
        <v>89</v>
      </c>
      <c r="G23" s="28">
        <f t="shared" si="1"/>
        <v>-41</v>
      </c>
      <c r="H23" s="7"/>
    </row>
    <row r="24" spans="2:8" x14ac:dyDescent="0.2">
      <c r="B24" s="5" t="s">
        <v>21</v>
      </c>
      <c r="C24" s="28">
        <v>47</v>
      </c>
      <c r="D24" s="42">
        <v>25</v>
      </c>
      <c r="E24" s="28">
        <f t="shared" si="0"/>
        <v>22</v>
      </c>
      <c r="F24" s="42">
        <v>223</v>
      </c>
      <c r="G24" s="28">
        <f t="shared" si="1"/>
        <v>-176</v>
      </c>
      <c r="H24" s="7"/>
    </row>
    <row r="25" spans="2:8" x14ac:dyDescent="0.2">
      <c r="B25" s="5" t="s">
        <v>22</v>
      </c>
      <c r="C25" s="28">
        <v>47</v>
      </c>
      <c r="D25" s="42">
        <v>77</v>
      </c>
      <c r="E25" s="28">
        <f t="shared" si="0"/>
        <v>-30</v>
      </c>
      <c r="F25" s="42">
        <v>61</v>
      </c>
      <c r="G25" s="28">
        <f t="shared" si="1"/>
        <v>-14</v>
      </c>
      <c r="H25" s="7"/>
    </row>
    <row r="26" spans="2:8" x14ac:dyDescent="0.2">
      <c r="B26" s="5" t="s">
        <v>23</v>
      </c>
      <c r="C26" s="28">
        <v>359</v>
      </c>
      <c r="D26" s="42">
        <v>396</v>
      </c>
      <c r="E26" s="28">
        <f t="shared" si="0"/>
        <v>-37</v>
      </c>
      <c r="F26" s="42">
        <v>544</v>
      </c>
      <c r="G26" s="28">
        <f t="shared" si="1"/>
        <v>-185</v>
      </c>
      <c r="H26" s="7"/>
    </row>
    <row r="27" spans="2:8" x14ac:dyDescent="0.2">
      <c r="B27" s="5" t="s">
        <v>24</v>
      </c>
      <c r="C27" s="28">
        <v>33</v>
      </c>
      <c r="D27" s="42">
        <v>31</v>
      </c>
      <c r="E27" s="28">
        <f t="shared" si="0"/>
        <v>2</v>
      </c>
      <c r="F27" s="42">
        <v>31</v>
      </c>
      <c r="G27" s="28">
        <f t="shared" si="1"/>
        <v>2</v>
      </c>
      <c r="H27" s="7"/>
    </row>
    <row r="28" spans="2:8" ht="17.25" customHeight="1" x14ac:dyDescent="0.25">
      <c r="B28" s="39" t="s">
        <v>25</v>
      </c>
      <c r="C28" s="48">
        <f>SUM(C3:C27)</f>
        <v>1640</v>
      </c>
      <c r="D28" s="44">
        <f>SUM(D3:D27)</f>
        <v>2829</v>
      </c>
      <c r="E28" s="48">
        <f>SUM(E3:E27)</f>
        <v>-1189</v>
      </c>
      <c r="F28" s="44">
        <f>SUM(F3:F27)</f>
        <v>3273</v>
      </c>
      <c r="G28" s="48">
        <f>SUM(G3:G27)</f>
        <v>-1633</v>
      </c>
      <c r="H28" s="7"/>
    </row>
    <row r="29" spans="2:8" ht="12" customHeight="1" x14ac:dyDescent="0.2">
      <c r="B29" s="4"/>
      <c r="E29" s="188">
        <f>SUM(E28/D28)*100</f>
        <v>-42.028985507246375</v>
      </c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T('7oferty p.'!B2)</f>
        <v>powiaty</v>
      </c>
      <c r="D3" s="36" t="str">
        <f>T('7oferty p.'!C2)</f>
        <v>liczba ofert w 06-'25 r.</v>
      </c>
      <c r="E3" s="36" t="str">
        <f>T('7oferty p.'!D2)</f>
        <v>liczba ofert w 05-'25 r.</v>
      </c>
      <c r="F3" s="36" t="str">
        <f>T('7oferty p.'!E2)</f>
        <v>wzrost/spadek do poprzedniego  miesiąca</v>
      </c>
      <c r="G3" s="36" t="str">
        <f>T('7oferty p.'!F2)</f>
        <v>liczba ofert w 06-'24 r.</v>
      </c>
      <c r="H3" s="36" t="str">
        <f>T('7oferty p.'!G2)</f>
        <v>wzrost/spadek do analogicznego okresu ubr.</v>
      </c>
    </row>
    <row r="4" spans="2:8" x14ac:dyDescent="0.2">
      <c r="B4" s="6">
        <f>RANK('7oferty p.'!C3,'7oferty p.'!$C$3:'7oferty p.'!$C$28,1)+COUNTIF('7oferty p.'!$C$3:'7oferty p.'!C3,'7oferty p.'!C3)-1</f>
        <v>2</v>
      </c>
      <c r="C4" s="5" t="str">
        <f>INDEX('7oferty p.'!B3:G28,MATCH(1,B4:B29,0),1)</f>
        <v>brzozowski</v>
      </c>
      <c r="D4" s="24">
        <f>INDEX('7oferty p.'!B3:G28,MATCH(1,B4:B29,0),2)</f>
        <v>6</v>
      </c>
      <c r="E4" s="42">
        <f>INDEX('7oferty p.'!B3:G28,MATCH(1,B4:B29,0),3)</f>
        <v>77</v>
      </c>
      <c r="F4" s="6">
        <f>INDEX('7oferty p.'!B3:G28,MATCH(1,B4:B29,0),4)</f>
        <v>-71</v>
      </c>
      <c r="G4" s="42">
        <f>INDEX('7oferty p.'!B3:G28,MATCH(1,B4:B29,0),5)</f>
        <v>79</v>
      </c>
      <c r="H4" s="6">
        <f>INDEX('7oferty p.'!B3:G28,MATCH(1,B4:B29,0),6)</f>
        <v>-73</v>
      </c>
    </row>
    <row r="5" spans="2:8" x14ac:dyDescent="0.2">
      <c r="B5" s="6">
        <f>RANK('7oferty p.'!C4,'7oferty p.'!$C$3:'7oferty p.'!$C$28,1)+COUNTIF('7oferty p.'!$C$3:'7oferty p.'!C4,'7oferty p.'!C4)-1</f>
        <v>1</v>
      </c>
      <c r="C5" s="5" t="str">
        <f>INDEX('7oferty p.'!B3:G28,MATCH(2,B4:B29,0),1)</f>
        <v>bieszczadzki</v>
      </c>
      <c r="D5" s="6">
        <f>INDEX('7oferty p.'!B3:G28,MATCH(2,B4:B29,0),2)</f>
        <v>8</v>
      </c>
      <c r="E5" s="42">
        <f>INDEX('7oferty p.'!B3:G28,MATCH(2,B4:B29,0),3)</f>
        <v>36</v>
      </c>
      <c r="F5" s="6">
        <f>INDEX('7oferty p.'!B3:G28,MATCH(2,B4:B29,0),4)</f>
        <v>-28</v>
      </c>
      <c r="G5" s="42">
        <f>INDEX('7oferty p.'!B3:G28,MATCH(2,B4:B29,0),5)</f>
        <v>61</v>
      </c>
      <c r="H5" s="6">
        <f>INDEX('7oferty p.'!B3:G28,MATCH(2,B4:B29,0),6)</f>
        <v>-53</v>
      </c>
    </row>
    <row r="6" spans="2:8" x14ac:dyDescent="0.2">
      <c r="B6" s="6">
        <f>RANK('7oferty p.'!C5,'7oferty p.'!$C$3:'7oferty p.'!$C$28,1)+COUNTIF('7oferty p.'!$C$3:'7oferty p.'!C5,'7oferty p.'!C5)-1</f>
        <v>23</v>
      </c>
      <c r="C6" s="5" t="str">
        <f>INDEX('7oferty p.'!B3:G28,MATCH(3,B4:B29,0),1)</f>
        <v>niżański</v>
      </c>
      <c r="D6" s="6">
        <f>INDEX('7oferty p.'!B3:G28,MATCH(3,B4:B29,0),2)</f>
        <v>17</v>
      </c>
      <c r="E6" s="42">
        <f>INDEX('7oferty p.'!B3:G28,MATCH(3,B4:B29,0),3)</f>
        <v>57</v>
      </c>
      <c r="F6" s="6">
        <f>INDEX('7oferty p.'!B3:G28,MATCH(3,B4:B29,0),4)</f>
        <v>-40</v>
      </c>
      <c r="G6" s="42">
        <f>INDEX('7oferty p.'!B3:G28,MATCH(3,B4:B29,0),5)</f>
        <v>76</v>
      </c>
      <c r="H6" s="6">
        <f>INDEX('7oferty p.'!B3:G28,MATCH(3,B4:B29,0),6)</f>
        <v>-59</v>
      </c>
    </row>
    <row r="7" spans="2:8" x14ac:dyDescent="0.2">
      <c r="B7" s="6">
        <f>RANK('7oferty p.'!C6,'7oferty p.'!$C$3:'7oferty p.'!$C$28,1)+COUNTIF('7oferty p.'!$C$3:'7oferty p.'!C6,'7oferty p.'!C6)-1</f>
        <v>19</v>
      </c>
      <c r="C7" s="5" t="str">
        <f>INDEX('7oferty p.'!B3:G28,MATCH(4,B4:B29,0),1)</f>
        <v>przemyski</v>
      </c>
      <c r="D7" s="6">
        <f>INDEX('7oferty p.'!B3:G28,MATCH(4,B4:B29,0),2)</f>
        <v>20</v>
      </c>
      <c r="E7" s="42">
        <f>INDEX('7oferty p.'!B3:G28,MATCH(4,B4:B29,0),3)</f>
        <v>25</v>
      </c>
      <c r="F7" s="6">
        <f>INDEX('7oferty p.'!B3:G28,MATCH(4,B4:B29,0),4)</f>
        <v>-5</v>
      </c>
      <c r="G7" s="42">
        <f>INDEX('7oferty p.'!B3:G28,MATCH(4,B4:B29,0),5)</f>
        <v>47</v>
      </c>
      <c r="H7" s="6">
        <f>INDEX('7oferty p.'!B3:G28,MATCH(4,B4:B29,0),6)</f>
        <v>-27</v>
      </c>
    </row>
    <row r="8" spans="2:8" x14ac:dyDescent="0.2">
      <c r="B8" s="6">
        <f>RANK('7oferty p.'!C7,'7oferty p.'!$C$3:'7oferty p.'!$C$28,1)+COUNTIF('7oferty p.'!$C$3:'7oferty p.'!C7,'7oferty p.'!C7)-1</f>
        <v>22</v>
      </c>
      <c r="C8" s="5" t="str">
        <f>INDEX('7oferty p.'!B3:G28,MATCH(5,B4:B29,0),1)</f>
        <v>leski</v>
      </c>
      <c r="D8" s="6">
        <f>INDEX('7oferty p.'!B3:G28,MATCH(5,B4:B29,0),2)</f>
        <v>22</v>
      </c>
      <c r="E8" s="42">
        <f>INDEX('7oferty p.'!B3:G28,MATCH(5,B4:B29,0),3)</f>
        <v>47</v>
      </c>
      <c r="F8" s="6">
        <f>INDEX('7oferty p.'!B3:G28,MATCH(5,B4:B29,0),4)</f>
        <v>-25</v>
      </c>
      <c r="G8" s="42">
        <f>INDEX('7oferty p.'!B3:G28,MATCH(5,B4:B29,0),5)</f>
        <v>42</v>
      </c>
      <c r="H8" s="6">
        <f>INDEX('7oferty p.'!B3:G28,MATCH(5,B4:B29,0),6)</f>
        <v>-20</v>
      </c>
    </row>
    <row r="9" spans="2:8" x14ac:dyDescent="0.2">
      <c r="B9" s="6">
        <f>RANK('7oferty p.'!C8,'7oferty p.'!$C$3:'7oferty p.'!$C$28,1)+COUNTIF('7oferty p.'!$C$3:'7oferty p.'!C8,'7oferty p.'!C8)-1</f>
        <v>7</v>
      </c>
      <c r="C9" s="5" t="str">
        <f>INDEX('7oferty p.'!B3:G28,MATCH(6,B4:B29,0),1)</f>
        <v>lubaczowski</v>
      </c>
      <c r="D9" s="6">
        <f>INDEX('7oferty p.'!B3:G28,MATCH(6,B4:B29,0),2)</f>
        <v>23</v>
      </c>
      <c r="E9" s="42">
        <f>INDEX('7oferty p.'!B3:G28,MATCH(6,B4:B29,0),3)</f>
        <v>148</v>
      </c>
      <c r="F9" s="6">
        <f>INDEX('7oferty p.'!B3:G28,MATCH(6,B4:B29,0),4)</f>
        <v>-125</v>
      </c>
      <c r="G9" s="42">
        <f>INDEX('7oferty p.'!B3:G28,MATCH(6,B4:B29,0),5)</f>
        <v>64</v>
      </c>
      <c r="H9" s="6">
        <f>INDEX('7oferty p.'!B3:G28,MATCH(6,B4:B29,0),6)</f>
        <v>-41</v>
      </c>
    </row>
    <row r="10" spans="2:8" x14ac:dyDescent="0.2">
      <c r="B10" s="6">
        <f>RANK('7oferty p.'!C9,'7oferty p.'!$C$3:'7oferty p.'!$C$28,1)+COUNTIF('7oferty p.'!$C$3:'7oferty p.'!C9,'7oferty p.'!C9)-1</f>
        <v>10</v>
      </c>
      <c r="C10" s="9" t="str">
        <f>INDEX('7oferty p.'!B3:G28,MATCH(7,B4:B29,0),1)</f>
        <v>kolbuszowski</v>
      </c>
      <c r="D10" s="6">
        <f>INDEX('7oferty p.'!B3:G28,MATCH(7,B4:B29,0),2)</f>
        <v>27</v>
      </c>
      <c r="E10" s="42">
        <f>INDEX('7oferty p.'!B3:G28,MATCH(7,B4:B29,0),3)</f>
        <v>58</v>
      </c>
      <c r="F10" s="6">
        <f>INDEX('7oferty p.'!B3:G28,MATCH(7,B4:B29,0),4)</f>
        <v>-31</v>
      </c>
      <c r="G10" s="42">
        <f>INDEX('7oferty p.'!B3:G28,MATCH(7,B4:B29,0),5)</f>
        <v>72</v>
      </c>
      <c r="H10" s="6">
        <f>INDEX('7oferty p.'!B3:G28,MATCH(7,B4:B29,0),6)</f>
        <v>-45</v>
      </c>
    </row>
    <row r="11" spans="2:8" x14ac:dyDescent="0.2">
      <c r="B11" s="6">
        <f>RANK('7oferty p.'!C10,'7oferty p.'!$C$3:'7oferty p.'!$C$28,1)+COUNTIF('7oferty p.'!$C$3:'7oferty p.'!C10,'7oferty p.'!C10)-1</f>
        <v>5</v>
      </c>
      <c r="C11" s="5" t="str">
        <f>INDEX('7oferty p.'!B3:G28,MATCH(8,B4:B29,0),1)</f>
        <v>sanocki</v>
      </c>
      <c r="D11" s="6">
        <f>INDEX('7oferty p.'!B3:G28,MATCH(8,B4:B29,0),2)</f>
        <v>27</v>
      </c>
      <c r="E11" s="42">
        <f>INDEX('7oferty p.'!B3:G28,MATCH(8,B4:B29,0),3)</f>
        <v>64</v>
      </c>
      <c r="F11" s="6">
        <f>INDEX('7oferty p.'!B3:G28,MATCH(8,B4:B29,0),4)</f>
        <v>-37</v>
      </c>
      <c r="G11" s="42">
        <f>INDEX('7oferty p.'!B3:G28,MATCH(8,B4:B29,0),5)</f>
        <v>114</v>
      </c>
      <c r="H11" s="6">
        <f>INDEX('7oferty p.'!B3:G28,MATCH(8,B4:B29,0),6)</f>
        <v>-87</v>
      </c>
    </row>
    <row r="12" spans="2:8" x14ac:dyDescent="0.2">
      <c r="B12" s="6">
        <f>RANK('7oferty p.'!C11,'7oferty p.'!$C$3:'7oferty p.'!$C$28,1)+COUNTIF('7oferty p.'!$C$3:'7oferty p.'!C11,'7oferty p.'!C11)-1</f>
        <v>12</v>
      </c>
      <c r="C12" s="5" t="str">
        <f>INDEX('7oferty p.'!B3:G28,MATCH(9,B4:B29,0),1)</f>
        <v>strzyżowski</v>
      </c>
      <c r="D12" s="6">
        <f>INDEX('7oferty p.'!B3:G28,MATCH(9,B4:B29,0),2)</f>
        <v>28</v>
      </c>
      <c r="E12" s="42">
        <f>INDEX('7oferty p.'!B3:G28,MATCH(9,B4:B29,0),3)</f>
        <v>87</v>
      </c>
      <c r="F12" s="6">
        <f>INDEX('7oferty p.'!B3:G28,MATCH(9,B4:B29,0),4)</f>
        <v>-59</v>
      </c>
      <c r="G12" s="42">
        <f>INDEX('7oferty p.'!B3:G28,MATCH(9,B4:B29,0),5)</f>
        <v>82</v>
      </c>
      <c r="H12" s="6">
        <f>INDEX('7oferty p.'!B3:G28,MATCH(9,B4:B29,0),6)</f>
        <v>-54</v>
      </c>
    </row>
    <row r="13" spans="2:8" x14ac:dyDescent="0.2">
      <c r="B13" s="6">
        <f>RANK('7oferty p.'!C12,'7oferty p.'!$C$3:'7oferty p.'!$C$28,1)+COUNTIF('7oferty p.'!$C$3:'7oferty p.'!C12,'7oferty p.'!C12)-1</f>
        <v>6</v>
      </c>
      <c r="C13" s="5" t="str">
        <f>INDEX('7oferty p.'!B3:G28,MATCH(10,B4:B29,0),1)</f>
        <v>krośnieński</v>
      </c>
      <c r="D13" s="6">
        <f>INDEX('7oferty p.'!B3:G28,MATCH(10,B4:B29,0),2)</f>
        <v>31</v>
      </c>
      <c r="E13" s="42">
        <f>INDEX('7oferty p.'!B3:G28,MATCH(10,B4:B29,0),3)</f>
        <v>43</v>
      </c>
      <c r="F13" s="6">
        <f>INDEX('7oferty p.'!B3:G28,MATCH(10,B4:B29,0),4)</f>
        <v>-12</v>
      </c>
      <c r="G13" s="42">
        <f>INDEX('7oferty p.'!B3:G28,MATCH(10,B4:B29,0),5)</f>
        <v>108</v>
      </c>
      <c r="H13" s="6">
        <f>INDEX('7oferty p.'!B3:G28,MATCH(10,B4:B29,0),6)</f>
        <v>-77</v>
      </c>
    </row>
    <row r="14" spans="2:8" x14ac:dyDescent="0.2">
      <c r="B14" s="6">
        <f>RANK('7oferty p.'!C13,'7oferty p.'!$C$3:'7oferty p.'!$C$28,1)+COUNTIF('7oferty p.'!$C$3:'7oferty p.'!C13,'7oferty p.'!C13)-1</f>
        <v>13</v>
      </c>
      <c r="C14" s="5" t="str">
        <f>INDEX('7oferty p.'!B3:G28,MATCH(11,B4:B29,0),1)</f>
        <v>Tarnobrzeg</v>
      </c>
      <c r="D14" s="6">
        <f>INDEX('7oferty p.'!B3:G28,MATCH(11,B4:B29,0),2)</f>
        <v>33</v>
      </c>
      <c r="E14" s="42">
        <f>INDEX('7oferty p.'!B3:G28,MATCH(11,B4:B29,0),3)</f>
        <v>31</v>
      </c>
      <c r="F14" s="6">
        <f>INDEX('7oferty p.'!B3:G28,MATCH(11,B4:B29,0),4)</f>
        <v>2</v>
      </c>
      <c r="G14" s="42">
        <f>INDEX('7oferty p.'!B3:G28,MATCH(11,B4:B29,0),5)</f>
        <v>31</v>
      </c>
      <c r="H14" s="6">
        <f>INDEX('7oferty p.'!B3:G28,MATCH(11,B4:B29,0),6)</f>
        <v>2</v>
      </c>
    </row>
    <row r="15" spans="2:8" x14ac:dyDescent="0.2">
      <c r="B15" s="6">
        <f>RANK('7oferty p.'!C14,'7oferty p.'!$C$3:'7oferty p.'!$C$28,1)+COUNTIF('7oferty p.'!$C$3:'7oferty p.'!C14,'7oferty p.'!C14)-1</f>
        <v>24</v>
      </c>
      <c r="C15" s="5" t="str">
        <f>INDEX('7oferty p.'!B3:G28,MATCH(12,B4:B29,0),1)</f>
        <v>leżajski</v>
      </c>
      <c r="D15" s="6">
        <f>INDEX('7oferty p.'!B3:G28,MATCH(12,B4:B29,0),2)</f>
        <v>35</v>
      </c>
      <c r="E15" s="42">
        <f>INDEX('7oferty p.'!B3:G28,MATCH(12,B4:B29,0),3)</f>
        <v>36</v>
      </c>
      <c r="F15" s="6">
        <f>INDEX('7oferty p.'!B3:G28,MATCH(12,B4:B29,0),4)</f>
        <v>-1</v>
      </c>
      <c r="G15" s="42">
        <f>INDEX('7oferty p.'!B3:G28,MATCH(12,B4:B29,0),5)</f>
        <v>83</v>
      </c>
      <c r="H15" s="6">
        <f>INDEX('7oferty p.'!B3:G28,MATCH(12,B4:B29,0),6)</f>
        <v>-48</v>
      </c>
    </row>
    <row r="16" spans="2:8" x14ac:dyDescent="0.2">
      <c r="B16" s="6">
        <f>RANK('7oferty p.'!C15,'7oferty p.'!$C$3:'7oferty p.'!$C$28,1)+COUNTIF('7oferty p.'!$C$3:'7oferty p.'!C15,'7oferty p.'!C15)-1</f>
        <v>3</v>
      </c>
      <c r="C16" s="5" t="str">
        <f>INDEX('7oferty p.'!B3:G28,MATCH(13,B4:B29,0),1)</f>
        <v>łańcucki</v>
      </c>
      <c r="D16" s="6">
        <f>INDEX('7oferty p.'!B3:G28,MATCH(13,B4:B29,0),2)</f>
        <v>39</v>
      </c>
      <c r="E16" s="42">
        <f>INDEX('7oferty p.'!B3:G28,MATCH(13,B4:B29,0),3)</f>
        <v>79</v>
      </c>
      <c r="F16" s="6">
        <f>INDEX('7oferty p.'!B3:G28,MATCH(13,B4:B29,0),4)</f>
        <v>-40</v>
      </c>
      <c r="G16" s="42">
        <f>INDEX('7oferty p.'!B3:G28,MATCH(13,B4:B29,0),5)</f>
        <v>74</v>
      </c>
      <c r="H16" s="6">
        <f>INDEX('7oferty p.'!B3:G28,MATCH(13,B4:B29,0),6)</f>
        <v>-35</v>
      </c>
    </row>
    <row r="17" spans="2:8" x14ac:dyDescent="0.2">
      <c r="B17" s="6">
        <f>RANK('7oferty p.'!C16,'7oferty p.'!$C$3:'7oferty p.'!$C$28,1)+COUNTIF('7oferty p.'!$C$3:'7oferty p.'!C16,'7oferty p.'!C16)-1</f>
        <v>4</v>
      </c>
      <c r="C17" s="5" t="str">
        <f>INDEX('7oferty p.'!B3:G28,MATCH(14,B4:B29,0),1)</f>
        <v>Krosno</v>
      </c>
      <c r="D17" s="6">
        <f>INDEX('7oferty p.'!B3:G28,MATCH(14,B4:B29,0),2)</f>
        <v>47</v>
      </c>
      <c r="E17" s="42">
        <f>INDEX('7oferty p.'!B3:G28,MATCH(14,B4:B29,0),3)</f>
        <v>25</v>
      </c>
      <c r="F17" s="6">
        <f>INDEX('7oferty p.'!B3:G28,MATCH(14,B4:B29,0),4)</f>
        <v>22</v>
      </c>
      <c r="G17" s="42">
        <f>INDEX('7oferty p.'!B3:G28,MATCH(14,B4:B29,0),5)</f>
        <v>223</v>
      </c>
      <c r="H17" s="6">
        <f>INDEX('7oferty p.'!B3:G28,MATCH(14,B4:B29,0),6)</f>
        <v>-176</v>
      </c>
    </row>
    <row r="18" spans="2:8" x14ac:dyDescent="0.2">
      <c r="B18" s="6">
        <f>RANK('7oferty p.'!C17,'7oferty p.'!$C$3:'7oferty p.'!$C$28,1)+COUNTIF('7oferty p.'!$C$3:'7oferty p.'!C17,'7oferty p.'!C17)-1</f>
        <v>20</v>
      </c>
      <c r="C18" s="5" t="str">
        <f>INDEX('7oferty p.'!B3:G28,MATCH(15,B4:B29,0),1)</f>
        <v>Przemyśl</v>
      </c>
      <c r="D18" s="6">
        <f>INDEX('7oferty p.'!B3:G28,MATCH(15,B4:B29,0),2)</f>
        <v>47</v>
      </c>
      <c r="E18" s="42">
        <f>INDEX('7oferty p.'!B3:G28,MATCH(15,B4:B29,0),3)</f>
        <v>77</v>
      </c>
      <c r="F18" s="6">
        <f>INDEX('7oferty p.'!B3:G28,MATCH(15,B4:B29,0),4)</f>
        <v>-30</v>
      </c>
      <c r="G18" s="42">
        <f>INDEX('7oferty p.'!B3:G28,MATCH(15,B4:B29,0),5)</f>
        <v>61</v>
      </c>
      <c r="H18" s="6">
        <f>INDEX('7oferty p.'!B3:G28,MATCH(15,B4:B29,0),6)</f>
        <v>-14</v>
      </c>
    </row>
    <row r="19" spans="2:8" x14ac:dyDescent="0.2">
      <c r="B19" s="6">
        <f>RANK('7oferty p.'!C18,'7oferty p.'!$C$3:'7oferty p.'!$C$28,1)+COUNTIF('7oferty p.'!$C$3:'7oferty p.'!C18,'7oferty p.'!C18)-1</f>
        <v>18</v>
      </c>
      <c r="C19" s="5" t="str">
        <f>INDEX('7oferty p.'!B3:G28,MATCH(16,B4:B29,0),1)</f>
        <v xml:space="preserve">tarnobrzeski </v>
      </c>
      <c r="D19" s="6">
        <f>INDEX('7oferty p.'!B3:G28,MATCH(16,B4:B29,0),2)</f>
        <v>48</v>
      </c>
      <c r="E19" s="42">
        <f>INDEX('7oferty p.'!B3:G28,MATCH(16,B4:B29,0),3)</f>
        <v>32</v>
      </c>
      <c r="F19" s="6">
        <f>INDEX('7oferty p.'!B3:G28,MATCH(16,B4:B29,0),4)</f>
        <v>16</v>
      </c>
      <c r="G19" s="42">
        <f>INDEX('7oferty p.'!B3:G28,MATCH(16,B4:B29,0),5)</f>
        <v>89</v>
      </c>
      <c r="H19" s="6">
        <f>INDEX('7oferty p.'!B3:G28,MATCH(16,B4:B29,0),6)</f>
        <v>-41</v>
      </c>
    </row>
    <row r="20" spans="2:8" x14ac:dyDescent="0.2">
      <c r="B20" s="6">
        <f>RANK('7oferty p.'!C19,'7oferty p.'!$C$3:'7oferty p.'!$C$28,1)+COUNTIF('7oferty p.'!$C$3:'7oferty p.'!C19,'7oferty p.'!C19)-1</f>
        <v>21</v>
      </c>
      <c r="C20" s="5" t="str">
        <f>INDEX('7oferty p.'!B3:G28,MATCH(17,B4:B29,0),1)</f>
        <v>stalowowolski</v>
      </c>
      <c r="D20" s="6">
        <f>INDEX('7oferty p.'!B3:G28,MATCH(17,B4:B29,0),2)</f>
        <v>59</v>
      </c>
      <c r="E20" s="42">
        <f>INDEX('7oferty p.'!B3:G28,MATCH(17,B4:B29,0),3)</f>
        <v>128</v>
      </c>
      <c r="F20" s="6">
        <f>INDEX('7oferty p.'!B3:G28,MATCH(17,B4:B29,0),4)</f>
        <v>-69</v>
      </c>
      <c r="G20" s="42">
        <f>INDEX('7oferty p.'!B3:G28,MATCH(17,B4:B29,0),5)</f>
        <v>149</v>
      </c>
      <c r="H20" s="6">
        <f>INDEX('7oferty p.'!B3:G28,MATCH(17,B4:B29,0),6)</f>
        <v>-90</v>
      </c>
    </row>
    <row r="21" spans="2:8" x14ac:dyDescent="0.2">
      <c r="B21" s="6">
        <f>RANK('7oferty p.'!C20,'7oferty p.'!$C$3:'7oferty p.'!$C$28,1)+COUNTIF('7oferty p.'!$C$3:'7oferty p.'!C20,'7oferty p.'!C20)-1</f>
        <v>8</v>
      </c>
      <c r="C21" s="5" t="str">
        <f>INDEX('7oferty p.'!B3:G28,MATCH(18,B4:B29,0),1)</f>
        <v>ropczycko-sędziszowski</v>
      </c>
      <c r="D21" s="6">
        <f>INDEX('7oferty p.'!B3:G28,MATCH(18,B4:B29,0),2)</f>
        <v>60</v>
      </c>
      <c r="E21" s="42">
        <f>INDEX('7oferty p.'!B3:G28,MATCH(18,B4:B29,0),3)</f>
        <v>99</v>
      </c>
      <c r="F21" s="6">
        <f>INDEX('7oferty p.'!B3:G28,MATCH(18,B4:B29,0),4)</f>
        <v>-39</v>
      </c>
      <c r="G21" s="42">
        <f>INDEX('7oferty p.'!B3:G28,MATCH(18,B4:B29,0),5)</f>
        <v>116</v>
      </c>
      <c r="H21" s="6">
        <f>INDEX('7oferty p.'!B3:G28,MATCH(18,B4:B29,0),6)</f>
        <v>-56</v>
      </c>
    </row>
    <row r="22" spans="2:8" x14ac:dyDescent="0.2">
      <c r="B22" s="6">
        <f>RANK('7oferty p.'!C21,'7oferty p.'!$C$3:'7oferty p.'!$C$28,1)+COUNTIF('7oferty p.'!$C$3:'7oferty p.'!C21,'7oferty p.'!C21)-1</f>
        <v>17</v>
      </c>
      <c r="C22" s="5" t="str">
        <f>INDEX('7oferty p.'!B3:G28,MATCH(19,B4:B29,0),1)</f>
        <v>jarosławski</v>
      </c>
      <c r="D22" s="6">
        <f>INDEX('7oferty p.'!B3:G28,MATCH(19,B4:B29,0),2)</f>
        <v>63</v>
      </c>
      <c r="E22" s="42">
        <f>INDEX('7oferty p.'!B3:G28,MATCH(19,B4:B29,0),3)</f>
        <v>82</v>
      </c>
      <c r="F22" s="6">
        <f>INDEX('7oferty p.'!B3:G28,MATCH(19,B4:B29,0),4)</f>
        <v>-19</v>
      </c>
      <c r="G22" s="42">
        <f>INDEX('7oferty p.'!B3:G28,MATCH(19,B4:B29,0),5)</f>
        <v>133</v>
      </c>
      <c r="H22" s="6">
        <f>INDEX('7oferty p.'!B3:G28,MATCH(19,B4:B29,0),6)</f>
        <v>-70</v>
      </c>
    </row>
    <row r="23" spans="2:8" x14ac:dyDescent="0.2">
      <c r="B23" s="6">
        <f>RANK('7oferty p.'!C22,'7oferty p.'!$C$3:'7oferty p.'!$C$28,1)+COUNTIF('7oferty p.'!$C$3:'7oferty p.'!C22,'7oferty p.'!C22)-1</f>
        <v>9</v>
      </c>
      <c r="C23" s="5" t="str">
        <f>INDEX('7oferty p.'!B3:G28,MATCH(20,B4:B29,0),1)</f>
        <v>przeworski</v>
      </c>
      <c r="D23" s="6">
        <f>INDEX('7oferty p.'!B3:G28,MATCH(20,B4:B29,0),2)</f>
        <v>79</v>
      </c>
      <c r="E23" s="42">
        <f>INDEX('7oferty p.'!B3:G28,MATCH(20,B4:B29,0),3)</f>
        <v>271</v>
      </c>
      <c r="F23" s="6">
        <f>INDEX('7oferty p.'!B3:G28,MATCH(20,B4:B29,0),4)</f>
        <v>-192</v>
      </c>
      <c r="G23" s="42">
        <f>INDEX('7oferty p.'!B3:G28,MATCH(20,B4:B29,0),5)</f>
        <v>152</v>
      </c>
      <c r="H23" s="6">
        <f>INDEX('7oferty p.'!B3:G28,MATCH(20,B4:B29,0),6)</f>
        <v>-73</v>
      </c>
    </row>
    <row r="24" spans="2:8" x14ac:dyDescent="0.2">
      <c r="B24" s="6">
        <f>RANK('7oferty p.'!C23,'7oferty p.'!$C$3:'7oferty p.'!$C$28,1)+COUNTIF('7oferty p.'!$C$3:'7oferty p.'!C23,'7oferty p.'!C23)-1</f>
        <v>16</v>
      </c>
      <c r="C24" s="5" t="str">
        <f>INDEX('7oferty p.'!B3:G28,MATCH(21,B4:B29,0),1)</f>
        <v>rzeszowski</v>
      </c>
      <c r="D24" s="6">
        <f>INDEX('7oferty p.'!B3:G28,MATCH(21,B4:B29,0),2)</f>
        <v>123</v>
      </c>
      <c r="E24" s="42">
        <f>INDEX('7oferty p.'!B3:G28,MATCH(21,B4:B29,0),3)</f>
        <v>147</v>
      </c>
      <c r="F24" s="6">
        <f>INDEX('7oferty p.'!B3:G28,MATCH(21,B4:B29,0),4)</f>
        <v>-24</v>
      </c>
      <c r="G24" s="42">
        <f>INDEX('7oferty p.'!B3:G28,MATCH(21,B4:B29,0),5)</f>
        <v>147</v>
      </c>
      <c r="H24" s="6">
        <f>INDEX('7oferty p.'!B3:G28,MATCH(21,B4:B29,0),6)</f>
        <v>-24</v>
      </c>
    </row>
    <row r="25" spans="2:8" x14ac:dyDescent="0.2">
      <c r="B25" s="6">
        <f>RANK('7oferty p.'!C24,'7oferty p.'!$C$3:'7oferty p.'!$C$28,1)+COUNTIF('7oferty p.'!$C$3:'7oferty p.'!C24,'7oferty p.'!C24)-1</f>
        <v>14</v>
      </c>
      <c r="C25" s="5" t="str">
        <f>INDEX('7oferty p.'!B3:G28,MATCH(22,B4:B29,0),1)</f>
        <v>jasielski</v>
      </c>
      <c r="D25" s="6">
        <f>INDEX('7oferty p.'!B3:G28,MATCH(22,B4:B29,0),2)</f>
        <v>134</v>
      </c>
      <c r="E25" s="42">
        <f>INDEX('7oferty p.'!B3:G28,MATCH(22,B4:B29,0),3)</f>
        <v>274</v>
      </c>
      <c r="F25" s="6">
        <f>INDEX('7oferty p.'!B3:G28,MATCH(22,B4:B29,0),4)</f>
        <v>-140</v>
      </c>
      <c r="G25" s="42">
        <f>INDEX('7oferty p.'!B3:G28,MATCH(22,B4:B29,0),5)</f>
        <v>201</v>
      </c>
      <c r="H25" s="6">
        <f>INDEX('7oferty p.'!B3:G28,MATCH(22,B4:B29,0),6)</f>
        <v>-67</v>
      </c>
    </row>
    <row r="26" spans="2:8" x14ac:dyDescent="0.2">
      <c r="B26" s="6">
        <f>RANK('7oferty p.'!C25,'7oferty p.'!$C$3:'7oferty p.'!$C$28,1)+COUNTIF('7oferty p.'!$C$3:'7oferty p.'!C25,'7oferty p.'!C25)-1</f>
        <v>15</v>
      </c>
      <c r="C26" s="5" t="str">
        <f>INDEX('7oferty p.'!B3:G28,MATCH(23,B4:B29,0),1)</f>
        <v>dębicki</v>
      </c>
      <c r="D26" s="6">
        <f>INDEX('7oferty p.'!B3:G28,MATCH(23,B4:B29,0),2)</f>
        <v>136</v>
      </c>
      <c r="E26" s="42">
        <f>INDEX('7oferty p.'!B3:G28,MATCH(23,B4:B29,0),3)</f>
        <v>274</v>
      </c>
      <c r="F26" s="6">
        <f>INDEX('7oferty p.'!B3:G28,MATCH(23,B4:B29,0),4)</f>
        <v>-138</v>
      </c>
      <c r="G26" s="42">
        <f>INDEX('7oferty p.'!B3:G28,MATCH(23,B4:B29,0),5)</f>
        <v>287</v>
      </c>
      <c r="H26" s="6">
        <f>INDEX('7oferty p.'!B3:G28,MATCH(23,B4:B29,0),6)</f>
        <v>-151</v>
      </c>
    </row>
    <row r="27" spans="2:8" x14ac:dyDescent="0.2">
      <c r="B27" s="6">
        <f>RANK('7oferty p.'!C26,'7oferty p.'!$C$3:'7oferty p.'!$C$28,1)+COUNTIF('7oferty p.'!$C$3:'7oferty p.'!C26,'7oferty p.'!C26)-1</f>
        <v>25</v>
      </c>
      <c r="C27" s="5" t="str">
        <f>INDEX('7oferty p.'!B3:G28,MATCH(24,B4:B29,0),1)</f>
        <v>mielecki</v>
      </c>
      <c r="D27" s="6">
        <f>INDEX('7oferty p.'!B3:G28,MATCH(24,B4:B29,0),2)</f>
        <v>169</v>
      </c>
      <c r="E27" s="42">
        <f>INDEX('7oferty p.'!B3:G28,MATCH(24,B4:B29,0),3)</f>
        <v>236</v>
      </c>
      <c r="F27" s="6">
        <f>INDEX('7oferty p.'!B3:G28,MATCH(24,B4:B29,0),4)</f>
        <v>-67</v>
      </c>
      <c r="G27" s="42">
        <f>INDEX('7oferty p.'!B3:G28,MATCH(24,B4:B29,0),5)</f>
        <v>238</v>
      </c>
      <c r="H27" s="6">
        <f>INDEX('7oferty p.'!B3:G28,MATCH(24,B4:B29,0),6)</f>
        <v>-69</v>
      </c>
    </row>
    <row r="28" spans="2:8" x14ac:dyDescent="0.2">
      <c r="B28" s="6">
        <f>RANK('7oferty p.'!C27,'7oferty p.'!$C$3:'7oferty p.'!$C$28,1)+COUNTIF('7oferty p.'!$C$3:'7oferty p.'!C27,'7oferty p.'!C27)-1</f>
        <v>11</v>
      </c>
      <c r="C28" s="5" t="str">
        <f>INDEX('7oferty p.'!B3:G28,MATCH(25,B4:B29,0),1)</f>
        <v>Rzeszów</v>
      </c>
      <c r="D28" s="6">
        <f>INDEX('7oferty p.'!B3:G28,MATCH(25,B4:B29,0),2)</f>
        <v>359</v>
      </c>
      <c r="E28" s="42">
        <f>INDEX('7oferty p.'!B3:G28,MATCH(25,B4:B29,0),3)</f>
        <v>396</v>
      </c>
      <c r="F28" s="6">
        <f>INDEX('7oferty p.'!B3:G28,MATCH(25,B4:B29,0),4)</f>
        <v>-37</v>
      </c>
      <c r="G28" s="42">
        <f>INDEX('7oferty p.'!B3:G28,MATCH(25,B4:B29,0),5)</f>
        <v>544</v>
      </c>
      <c r="H28" s="6">
        <f>INDEX('7oferty p.'!B3:G28,MATCH(25,B4:B29,0),6)</f>
        <v>-185</v>
      </c>
    </row>
    <row r="29" spans="2:8" ht="15" x14ac:dyDescent="0.25">
      <c r="B29" s="22">
        <f>RANK('7oferty p.'!C28,'7oferty p.'!$C$3:'7oferty p.'!$C$28,1)+COUNTIF('7oferty p.'!$C$3:'7oferty p.'!C28,'7oferty p.'!C28)-1</f>
        <v>26</v>
      </c>
      <c r="C29" s="39" t="str">
        <f>INDEX('7oferty p.'!B3:G28,MATCH(26,B4:B29,0),1)</f>
        <v>województwo</v>
      </c>
      <c r="D29" s="40">
        <f>INDEX('7oferty p.'!B3:G28,MATCH(26,B4:B29,0),2)</f>
        <v>1640</v>
      </c>
      <c r="E29" s="44">
        <f>INDEX('7oferty p.'!B3:G28,MATCH(26,B4:B29,0),3)</f>
        <v>2829</v>
      </c>
      <c r="F29" s="40">
        <f>INDEX('7oferty p.'!B3:G28,MATCH(26,B4:B29,0),4)</f>
        <v>-1189</v>
      </c>
      <c r="G29" s="44">
        <f>INDEX('7oferty p.'!B3:G28,MATCH(26,B4:B29,0),5)</f>
        <v>3273</v>
      </c>
      <c r="H29" s="40">
        <f>INDEX('7oferty p.'!B3:G28,MATCH(26,B4:B29,0),6)</f>
        <v>-1633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28515625" style="3" customWidth="1"/>
    <col min="4" max="4" width="12.42578125" style="3" customWidth="1"/>
    <col min="5" max="5" width="16.28515625" style="3" customWidth="1"/>
    <col min="6" max="6" width="12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32" t="s">
        <v>44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45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95</v>
      </c>
      <c r="D3" s="38" t="s">
        <v>76</v>
      </c>
      <c r="E3" s="37" t="s">
        <v>28</v>
      </c>
      <c r="F3" s="38" t="s">
        <v>96</v>
      </c>
      <c r="G3" s="37" t="s">
        <v>26</v>
      </c>
    </row>
    <row r="4" spans="2:11" x14ac:dyDescent="0.2">
      <c r="B4" s="5" t="s">
        <v>0</v>
      </c>
      <c r="C4" s="28">
        <v>5</v>
      </c>
      <c r="D4" s="42">
        <v>24</v>
      </c>
      <c r="E4" s="28">
        <f t="shared" ref="E4:E28" si="0">SUM(C4)-D4</f>
        <v>-19</v>
      </c>
      <c r="F4" s="42">
        <v>50</v>
      </c>
      <c r="G4" s="28">
        <f t="shared" ref="G4:G28" si="1">SUM(C4)-F4</f>
        <v>-45</v>
      </c>
      <c r="H4" s="7"/>
    </row>
    <row r="5" spans="2:11" x14ac:dyDescent="0.2">
      <c r="B5" s="5" t="s">
        <v>1</v>
      </c>
      <c r="C5" s="28">
        <v>4</v>
      </c>
      <c r="D5" s="42">
        <v>74</v>
      </c>
      <c r="E5" s="28">
        <f t="shared" si="0"/>
        <v>-70</v>
      </c>
      <c r="F5" s="42">
        <v>61</v>
      </c>
      <c r="G5" s="28">
        <f t="shared" si="1"/>
        <v>-57</v>
      </c>
      <c r="H5" s="7"/>
    </row>
    <row r="6" spans="2:11" x14ac:dyDescent="0.2">
      <c r="B6" s="5" t="s">
        <v>2</v>
      </c>
      <c r="C6" s="28">
        <v>2</v>
      </c>
      <c r="D6" s="42">
        <v>42</v>
      </c>
      <c r="E6" s="28">
        <f t="shared" si="0"/>
        <v>-40</v>
      </c>
      <c r="F6" s="42">
        <v>53</v>
      </c>
      <c r="G6" s="28">
        <f t="shared" si="1"/>
        <v>-51</v>
      </c>
      <c r="H6" s="7"/>
    </row>
    <row r="7" spans="2:11" x14ac:dyDescent="0.2">
      <c r="B7" s="5" t="s">
        <v>3</v>
      </c>
      <c r="C7" s="28">
        <v>1</v>
      </c>
      <c r="D7" s="42">
        <v>41</v>
      </c>
      <c r="E7" s="28">
        <f t="shared" si="0"/>
        <v>-40</v>
      </c>
      <c r="F7" s="42">
        <v>23</v>
      </c>
      <c r="G7" s="28">
        <f t="shared" si="1"/>
        <v>-22</v>
      </c>
      <c r="H7" s="7"/>
    </row>
    <row r="8" spans="2:11" x14ac:dyDescent="0.2">
      <c r="B8" s="5" t="s">
        <v>4</v>
      </c>
      <c r="C8" s="28">
        <v>39</v>
      </c>
      <c r="D8" s="42">
        <v>78</v>
      </c>
      <c r="E8" s="28">
        <f t="shared" si="0"/>
        <v>-39</v>
      </c>
      <c r="F8" s="42">
        <v>72</v>
      </c>
      <c r="G8" s="28">
        <f t="shared" si="1"/>
        <v>-33</v>
      </c>
      <c r="H8" s="7"/>
    </row>
    <row r="9" spans="2:11" x14ac:dyDescent="0.2">
      <c r="B9" s="5" t="s">
        <v>5</v>
      </c>
      <c r="C9" s="28">
        <v>8</v>
      </c>
      <c r="D9" s="42">
        <v>29</v>
      </c>
      <c r="E9" s="28">
        <f t="shared" si="0"/>
        <v>-21</v>
      </c>
      <c r="F9" s="42">
        <v>28</v>
      </c>
      <c r="G9" s="28">
        <f t="shared" si="1"/>
        <v>-20</v>
      </c>
      <c r="H9" s="7"/>
    </row>
    <row r="10" spans="2:11" x14ac:dyDescent="0.2">
      <c r="B10" s="9" t="s">
        <v>6</v>
      </c>
      <c r="C10" s="28">
        <v>16</v>
      </c>
      <c r="D10" s="42">
        <v>23</v>
      </c>
      <c r="E10" s="28">
        <f t="shared" si="0"/>
        <v>-7</v>
      </c>
      <c r="F10" s="42">
        <v>28</v>
      </c>
      <c r="G10" s="28">
        <f t="shared" si="1"/>
        <v>-12</v>
      </c>
      <c r="H10" s="7"/>
    </row>
    <row r="11" spans="2:11" x14ac:dyDescent="0.2">
      <c r="B11" s="5" t="s">
        <v>7</v>
      </c>
      <c r="C11" s="28">
        <v>12</v>
      </c>
      <c r="D11" s="42">
        <v>13</v>
      </c>
      <c r="E11" s="28">
        <f t="shared" si="0"/>
        <v>-1</v>
      </c>
      <c r="F11" s="42">
        <v>19</v>
      </c>
      <c r="G11" s="28">
        <f t="shared" si="1"/>
        <v>-7</v>
      </c>
      <c r="H11" s="7"/>
    </row>
    <row r="12" spans="2:11" x14ac:dyDescent="0.2">
      <c r="B12" s="5" t="s">
        <v>8</v>
      </c>
      <c r="C12" s="28">
        <v>18</v>
      </c>
      <c r="D12" s="42">
        <v>14</v>
      </c>
      <c r="E12" s="28">
        <f t="shared" si="0"/>
        <v>4</v>
      </c>
      <c r="F12" s="42">
        <v>51</v>
      </c>
      <c r="G12" s="28">
        <f t="shared" si="1"/>
        <v>-33</v>
      </c>
      <c r="H12" s="7"/>
    </row>
    <row r="13" spans="2:11" x14ac:dyDescent="0.2">
      <c r="B13" s="5" t="s">
        <v>9</v>
      </c>
      <c r="C13" s="28">
        <v>2</v>
      </c>
      <c r="D13" s="42">
        <v>76</v>
      </c>
      <c r="E13" s="28">
        <f t="shared" si="0"/>
        <v>-74</v>
      </c>
      <c r="F13" s="42">
        <v>43</v>
      </c>
      <c r="G13" s="28">
        <f t="shared" si="1"/>
        <v>-41</v>
      </c>
      <c r="H13" s="7"/>
    </row>
    <row r="14" spans="2:11" x14ac:dyDescent="0.2">
      <c r="B14" s="5" t="s">
        <v>10</v>
      </c>
      <c r="C14" s="28">
        <v>15</v>
      </c>
      <c r="D14" s="42">
        <v>46</v>
      </c>
      <c r="E14" s="28">
        <f t="shared" si="0"/>
        <v>-31</v>
      </c>
      <c r="F14" s="42">
        <v>54</v>
      </c>
      <c r="G14" s="28">
        <f t="shared" si="1"/>
        <v>-39</v>
      </c>
      <c r="H14" s="7"/>
    </row>
    <row r="15" spans="2:11" x14ac:dyDescent="0.2">
      <c r="B15" s="5" t="s">
        <v>11</v>
      </c>
      <c r="C15" s="28">
        <v>52</v>
      </c>
      <c r="D15" s="42">
        <v>78</v>
      </c>
      <c r="E15" s="28">
        <f t="shared" si="0"/>
        <v>-26</v>
      </c>
      <c r="F15" s="42">
        <v>47</v>
      </c>
      <c r="G15" s="28">
        <f t="shared" si="1"/>
        <v>5</v>
      </c>
      <c r="H15" s="7"/>
    </row>
    <row r="16" spans="2:11" x14ac:dyDescent="0.2">
      <c r="B16" s="5" t="s">
        <v>12</v>
      </c>
      <c r="C16" s="28">
        <v>6</v>
      </c>
      <c r="D16" s="42">
        <v>37</v>
      </c>
      <c r="E16" s="28">
        <f t="shared" si="0"/>
        <v>-31</v>
      </c>
      <c r="F16" s="42">
        <v>60</v>
      </c>
      <c r="G16" s="28">
        <f t="shared" si="1"/>
        <v>-54</v>
      </c>
      <c r="H16" s="7"/>
    </row>
    <row r="17" spans="2:8" x14ac:dyDescent="0.2">
      <c r="B17" s="5" t="s">
        <v>13</v>
      </c>
      <c r="C17" s="28">
        <v>12</v>
      </c>
      <c r="D17" s="42">
        <v>17</v>
      </c>
      <c r="E17" s="28">
        <f t="shared" si="0"/>
        <v>-5</v>
      </c>
      <c r="F17" s="42">
        <v>21</v>
      </c>
      <c r="G17" s="28">
        <f t="shared" si="1"/>
        <v>-9</v>
      </c>
      <c r="H17" s="7"/>
    </row>
    <row r="18" spans="2:8" x14ac:dyDescent="0.2">
      <c r="B18" s="5" t="s">
        <v>14</v>
      </c>
      <c r="C18" s="28">
        <v>7</v>
      </c>
      <c r="D18" s="42">
        <v>119</v>
      </c>
      <c r="E18" s="28">
        <f t="shared" si="0"/>
        <v>-112</v>
      </c>
      <c r="F18" s="42">
        <v>32</v>
      </c>
      <c r="G18" s="28">
        <f t="shared" si="1"/>
        <v>-25</v>
      </c>
      <c r="H18" s="7"/>
    </row>
    <row r="19" spans="2:8" x14ac:dyDescent="0.2">
      <c r="B19" s="5" t="s">
        <v>15</v>
      </c>
      <c r="C19" s="28">
        <v>3</v>
      </c>
      <c r="D19" s="42">
        <v>49</v>
      </c>
      <c r="E19" s="28">
        <f t="shared" si="0"/>
        <v>-46</v>
      </c>
      <c r="F19" s="42">
        <v>61</v>
      </c>
      <c r="G19" s="28">
        <f t="shared" si="1"/>
        <v>-58</v>
      </c>
      <c r="H19" s="7"/>
    </row>
    <row r="20" spans="2:8" x14ac:dyDescent="0.2">
      <c r="B20" s="5" t="s">
        <v>16</v>
      </c>
      <c r="C20" s="28">
        <v>10</v>
      </c>
      <c r="D20" s="42">
        <v>40</v>
      </c>
      <c r="E20" s="28">
        <f t="shared" si="0"/>
        <v>-30</v>
      </c>
      <c r="F20" s="42">
        <v>66</v>
      </c>
      <c r="G20" s="28">
        <f t="shared" si="1"/>
        <v>-56</v>
      </c>
      <c r="H20" s="7"/>
    </row>
    <row r="21" spans="2:8" x14ac:dyDescent="0.2">
      <c r="B21" s="5" t="s">
        <v>17</v>
      </c>
      <c r="C21" s="28">
        <v>9</v>
      </c>
      <c r="D21" s="42">
        <v>34</v>
      </c>
      <c r="E21" s="28">
        <f t="shared" si="0"/>
        <v>-25</v>
      </c>
      <c r="F21" s="42">
        <v>43</v>
      </c>
      <c r="G21" s="28">
        <f t="shared" si="1"/>
        <v>-34</v>
      </c>
      <c r="H21" s="7"/>
    </row>
    <row r="22" spans="2:8" x14ac:dyDescent="0.2">
      <c r="B22" s="5" t="s">
        <v>18</v>
      </c>
      <c r="C22" s="28">
        <v>25</v>
      </c>
      <c r="D22" s="42">
        <v>42</v>
      </c>
      <c r="E22" s="28">
        <f t="shared" si="0"/>
        <v>-17</v>
      </c>
      <c r="F22" s="42">
        <v>36</v>
      </c>
      <c r="G22" s="28">
        <f t="shared" si="1"/>
        <v>-11</v>
      </c>
      <c r="H22" s="7"/>
    </row>
    <row r="23" spans="2:8" x14ac:dyDescent="0.2">
      <c r="B23" s="5" t="s">
        <v>19</v>
      </c>
      <c r="C23" s="28">
        <v>7</v>
      </c>
      <c r="D23" s="42">
        <v>38</v>
      </c>
      <c r="E23" s="28">
        <f t="shared" si="0"/>
        <v>-31</v>
      </c>
      <c r="F23" s="42">
        <v>53</v>
      </c>
      <c r="G23" s="28">
        <f t="shared" si="1"/>
        <v>-46</v>
      </c>
      <c r="H23" s="7"/>
    </row>
    <row r="24" spans="2:8" x14ac:dyDescent="0.2">
      <c r="B24" s="5" t="s">
        <v>20</v>
      </c>
      <c r="C24" s="28">
        <v>15</v>
      </c>
      <c r="D24" s="42">
        <v>9</v>
      </c>
      <c r="E24" s="28">
        <f t="shared" si="0"/>
        <v>6</v>
      </c>
      <c r="F24" s="42">
        <v>8</v>
      </c>
      <c r="G24" s="28">
        <f t="shared" si="1"/>
        <v>7</v>
      </c>
      <c r="H24" s="7"/>
    </row>
    <row r="25" spans="2:8" x14ac:dyDescent="0.2">
      <c r="B25" s="5" t="s">
        <v>21</v>
      </c>
      <c r="C25" s="28">
        <v>24</v>
      </c>
      <c r="D25" s="42">
        <v>8</v>
      </c>
      <c r="E25" s="28">
        <f t="shared" si="0"/>
        <v>16</v>
      </c>
      <c r="F25" s="42">
        <v>23</v>
      </c>
      <c r="G25" s="28">
        <f t="shared" si="1"/>
        <v>1</v>
      </c>
      <c r="H25" s="7"/>
    </row>
    <row r="26" spans="2:8" x14ac:dyDescent="0.2">
      <c r="B26" s="5" t="s">
        <v>22</v>
      </c>
      <c r="C26" s="28">
        <v>23</v>
      </c>
      <c r="D26" s="42">
        <v>25</v>
      </c>
      <c r="E26" s="28">
        <f t="shared" si="0"/>
        <v>-2</v>
      </c>
      <c r="F26" s="42">
        <v>39</v>
      </c>
      <c r="G26" s="28">
        <f t="shared" si="1"/>
        <v>-16</v>
      </c>
      <c r="H26" s="7"/>
    </row>
    <row r="27" spans="2:8" x14ac:dyDescent="0.2">
      <c r="B27" s="5" t="s">
        <v>23</v>
      </c>
      <c r="C27" s="28">
        <v>21</v>
      </c>
      <c r="D27" s="42">
        <v>70</v>
      </c>
      <c r="E27" s="28">
        <f t="shared" si="0"/>
        <v>-49</v>
      </c>
      <c r="F27" s="42">
        <v>118</v>
      </c>
      <c r="G27" s="28">
        <f t="shared" si="1"/>
        <v>-97</v>
      </c>
      <c r="H27" s="7"/>
    </row>
    <row r="28" spans="2:8" x14ac:dyDescent="0.2">
      <c r="B28" s="5" t="s">
        <v>24</v>
      </c>
      <c r="C28" s="28">
        <v>21</v>
      </c>
      <c r="D28" s="42">
        <v>21</v>
      </c>
      <c r="E28" s="28">
        <f t="shared" si="0"/>
        <v>0</v>
      </c>
      <c r="F28" s="42">
        <v>12</v>
      </c>
      <c r="G28" s="28">
        <f t="shared" si="1"/>
        <v>9</v>
      </c>
      <c r="H28" s="7"/>
    </row>
    <row r="29" spans="2:8" ht="15" x14ac:dyDescent="0.25">
      <c r="B29" s="39" t="s">
        <v>25</v>
      </c>
      <c r="C29" s="48">
        <f>SUM(C4:C28)</f>
        <v>357</v>
      </c>
      <c r="D29" s="44">
        <f>SUM(D4:D28)</f>
        <v>1047</v>
      </c>
      <c r="E29" s="48">
        <f>SUM(E4:E28)</f>
        <v>-690</v>
      </c>
      <c r="F29" s="44">
        <f>SUM(F4:F28)</f>
        <v>1101</v>
      </c>
      <c r="G29" s="48">
        <f>SUM(G4:G28)</f>
        <v>-744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6.71093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41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T('8oferty s.'!B3)</f>
        <v>powiaty</v>
      </c>
      <c r="D3" s="36" t="str">
        <f>T('8oferty s.'!C3)</f>
        <v>liczba ofert w 06-'25 r.</v>
      </c>
      <c r="E3" s="36" t="str">
        <f>T('8oferty s.'!D3)</f>
        <v>liczba ofert w 05-'25 r.</v>
      </c>
      <c r="F3" s="36" t="str">
        <f>T('8oferty s.'!E3)</f>
        <v>wzrost/spadek do poprzedniego  miesiąca</v>
      </c>
      <c r="G3" s="36" t="str">
        <f>T('8oferty s.'!F3)</f>
        <v>liczba ofert w 06-'24 r.</v>
      </c>
      <c r="H3" s="36" t="str">
        <f>T('8oferty s.'!G3)</f>
        <v>wzrost/spadek do analogicznego okresu ubr.</v>
      </c>
    </row>
    <row r="4" spans="2:8" x14ac:dyDescent="0.2">
      <c r="B4" s="6">
        <f>RANK('8oferty s.'!C4,'8oferty s.'!$C$4:'8oferty s.'!$C$29,1)+COUNTIF('8oferty s.'!$C$4:'8oferty s.'!C4,'8oferty s.'!C4)-1</f>
        <v>6</v>
      </c>
      <c r="C4" s="5" t="str">
        <f>INDEX('8oferty s.'!B4:G29,MATCH(1,B4:B29,0),1)</f>
        <v>jarosławski</v>
      </c>
      <c r="D4" s="24">
        <f>INDEX('8oferty s.'!B4:G29,MATCH(1,B4:B29,0),2)</f>
        <v>1</v>
      </c>
      <c r="E4" s="42">
        <f>INDEX('8oferty s.'!B4:G29,MATCH(1,B4:B29,0),3)</f>
        <v>41</v>
      </c>
      <c r="F4" s="6">
        <f>INDEX('8oferty s.'!B4:G29,MATCH(1,B4:B29,0),4)</f>
        <v>-40</v>
      </c>
      <c r="G4" s="42">
        <f>INDEX('8oferty s.'!B4:G29,MATCH(1,B4:B29,0),5)</f>
        <v>23</v>
      </c>
      <c r="H4" s="6">
        <f>INDEX('8oferty s.'!B4:G29,MATCH(1,B4:B29,0),6)</f>
        <v>-22</v>
      </c>
    </row>
    <row r="5" spans="2:8" x14ac:dyDescent="0.2">
      <c r="B5" s="6">
        <f>RANK('8oferty s.'!C5,'8oferty s.'!$C$4:'8oferty s.'!$C$29,1)+COUNTIF('8oferty s.'!$C$4:'8oferty s.'!C5,'8oferty s.'!C5)-1</f>
        <v>5</v>
      </c>
      <c r="C5" s="5" t="str">
        <f>INDEX('8oferty s.'!B4:G29,MATCH(2,B4:B29,0),1)</f>
        <v>dębicki</v>
      </c>
      <c r="D5" s="6">
        <f>INDEX('8oferty s.'!B4:G29,MATCH(2,B4:B29,0),2)</f>
        <v>2</v>
      </c>
      <c r="E5" s="42">
        <f>INDEX('8oferty s.'!B4:G29,MATCH(2,B4:B29,0),3)</f>
        <v>42</v>
      </c>
      <c r="F5" s="6">
        <f>INDEX('8oferty s.'!B4:G29,MATCH(2,B4:B29,0),4)</f>
        <v>-40</v>
      </c>
      <c r="G5" s="42">
        <f>INDEX('8oferty s.'!B4:G29,MATCH(2,B4:B29,0),5)</f>
        <v>53</v>
      </c>
      <c r="H5" s="6">
        <f>INDEX('8oferty s.'!B4:G29,MATCH(2,B4:B29,0),6)</f>
        <v>-51</v>
      </c>
    </row>
    <row r="6" spans="2:8" x14ac:dyDescent="0.2">
      <c r="B6" s="6">
        <f>RANK('8oferty s.'!C6,'8oferty s.'!$C$4:'8oferty s.'!$C$29,1)+COUNTIF('8oferty s.'!$C$4:'8oferty s.'!C6,'8oferty s.'!C6)-1</f>
        <v>2</v>
      </c>
      <c r="C6" s="5" t="str">
        <f>INDEX('8oferty s.'!B4:G29,MATCH(3,B4:B29,0),1)</f>
        <v>lubaczowski</v>
      </c>
      <c r="D6" s="6">
        <f>INDEX('8oferty s.'!B4:G29,MATCH(3,B4:B29,0),2)</f>
        <v>2</v>
      </c>
      <c r="E6" s="42">
        <f>INDEX('8oferty s.'!B4:G29,MATCH(3,B4:B29,0),3)</f>
        <v>76</v>
      </c>
      <c r="F6" s="6">
        <f>INDEX('8oferty s.'!B4:G29,MATCH(3,B4:B29,0),4)</f>
        <v>-74</v>
      </c>
      <c r="G6" s="42">
        <f>INDEX('8oferty s.'!B4:G29,MATCH(3,B4:B29,0),5)</f>
        <v>43</v>
      </c>
      <c r="H6" s="6">
        <f>INDEX('8oferty s.'!B4:G29,MATCH(3,B4:B29,0),6)</f>
        <v>-41</v>
      </c>
    </row>
    <row r="7" spans="2:8" x14ac:dyDescent="0.2">
      <c r="B7" s="6">
        <f>RANK('8oferty s.'!C7,'8oferty s.'!$C$4:'8oferty s.'!$C$29,1)+COUNTIF('8oferty s.'!$C$4:'8oferty s.'!C7,'8oferty s.'!C7)-1</f>
        <v>1</v>
      </c>
      <c r="C7" s="5" t="str">
        <f>INDEX('8oferty s.'!B4:G29,MATCH(4,B4:B29,0),1)</f>
        <v>ropczycko-sędziszowski</v>
      </c>
      <c r="D7" s="6">
        <f>INDEX('8oferty s.'!B4:G29,MATCH(4,B4:B29,0),2)</f>
        <v>3</v>
      </c>
      <c r="E7" s="42">
        <f>INDEX('8oferty s.'!B4:G29,MATCH(4,B4:B29,0),3)</f>
        <v>49</v>
      </c>
      <c r="F7" s="6">
        <f>INDEX('8oferty s.'!B4:G29,MATCH(4,B4:B29,0),4)</f>
        <v>-46</v>
      </c>
      <c r="G7" s="42">
        <f>INDEX('8oferty s.'!B4:G29,MATCH(4,B4:B29,0),5)</f>
        <v>61</v>
      </c>
      <c r="H7" s="6">
        <f>INDEX('8oferty s.'!B4:G29,MATCH(4,B4:B29,0),6)</f>
        <v>-58</v>
      </c>
    </row>
    <row r="8" spans="2:8" x14ac:dyDescent="0.2">
      <c r="B8" s="6">
        <f>RANK('8oferty s.'!C8,'8oferty s.'!$C$4:'8oferty s.'!$C$29,1)+COUNTIF('8oferty s.'!$C$4:'8oferty s.'!C8,'8oferty s.'!C8)-1</f>
        <v>24</v>
      </c>
      <c r="C8" s="5" t="str">
        <f>INDEX('8oferty s.'!B4:G29,MATCH(5,B4:B29,0),1)</f>
        <v>brzozowski</v>
      </c>
      <c r="D8" s="6">
        <f>INDEX('8oferty s.'!B4:G29,MATCH(5,B4:B29,0),2)</f>
        <v>4</v>
      </c>
      <c r="E8" s="42">
        <f>INDEX('8oferty s.'!B4:G29,MATCH(5,B4:B29,0),3)</f>
        <v>74</v>
      </c>
      <c r="F8" s="6">
        <f>INDEX('8oferty s.'!B4:G29,MATCH(5,B4:B29,0),4)</f>
        <v>-70</v>
      </c>
      <c r="G8" s="42">
        <f>INDEX('8oferty s.'!B4:G29,MATCH(5,B4:B29,0),5)</f>
        <v>61</v>
      </c>
      <c r="H8" s="6">
        <f>INDEX('8oferty s.'!B4:G29,MATCH(5,B4:B29,0),6)</f>
        <v>-57</v>
      </c>
    </row>
    <row r="9" spans="2:8" x14ac:dyDescent="0.2">
      <c r="B9" s="6">
        <f>RANK('8oferty s.'!C9,'8oferty s.'!$C$4:'8oferty s.'!$C$29,1)+COUNTIF('8oferty s.'!$C$4:'8oferty s.'!C9,'8oferty s.'!C9)-1</f>
        <v>10</v>
      </c>
      <c r="C9" s="5" t="str">
        <f>INDEX('8oferty s.'!B4:G29,MATCH(6,B4:B29,0),1)</f>
        <v>bieszczadzki</v>
      </c>
      <c r="D9" s="6">
        <f>INDEX('8oferty s.'!B4:G29,MATCH(6,B4:B29,0),2)</f>
        <v>5</v>
      </c>
      <c r="E9" s="42">
        <f>INDEX('8oferty s.'!B4:G29,MATCH(6,B4:B29,0),3)</f>
        <v>24</v>
      </c>
      <c r="F9" s="6">
        <f>INDEX('8oferty s.'!B4:G29,MATCH(6,B4:B29,0),4)</f>
        <v>-19</v>
      </c>
      <c r="G9" s="42">
        <f>INDEX('8oferty s.'!B4:G29,MATCH(6,B4:B29,0),5)</f>
        <v>50</v>
      </c>
      <c r="H9" s="6">
        <f>INDEX('8oferty s.'!B4:G29,MATCH(6,B4:B29,0),6)</f>
        <v>-45</v>
      </c>
    </row>
    <row r="10" spans="2:8" x14ac:dyDescent="0.2">
      <c r="B10" s="6">
        <f>RANK('8oferty s.'!C10,'8oferty s.'!$C$4:'8oferty s.'!$C$29,1)+COUNTIF('8oferty s.'!$C$4:'8oferty s.'!C10,'8oferty s.'!C10)-1</f>
        <v>17</v>
      </c>
      <c r="C10" s="9" t="str">
        <f>INDEX('8oferty s.'!B4:G29,MATCH(7,B4:B29,0),1)</f>
        <v>niżański</v>
      </c>
      <c r="D10" s="6">
        <f>INDEX('8oferty s.'!B4:G29,MATCH(7,B4:B29,0),2)</f>
        <v>6</v>
      </c>
      <c r="E10" s="42">
        <f>INDEX('8oferty s.'!B4:G29,MATCH(7,B4:B29,0),3)</f>
        <v>37</v>
      </c>
      <c r="F10" s="6">
        <f>INDEX('8oferty s.'!B4:G29,MATCH(7,B4:B29,0),4)</f>
        <v>-31</v>
      </c>
      <c r="G10" s="42">
        <f>INDEX('8oferty s.'!B4:G29,MATCH(7,B4:B29,0),5)</f>
        <v>60</v>
      </c>
      <c r="H10" s="6">
        <f>INDEX('8oferty s.'!B4:G29,MATCH(7,B4:B29,0),6)</f>
        <v>-54</v>
      </c>
    </row>
    <row r="11" spans="2:8" x14ac:dyDescent="0.2">
      <c r="B11" s="6">
        <f>RANK('8oferty s.'!C11,'8oferty s.'!$C$4:'8oferty s.'!$C$29,1)+COUNTIF('8oferty s.'!$C$4:'8oferty s.'!C11,'8oferty s.'!C11)-1</f>
        <v>13</v>
      </c>
      <c r="C11" s="5" t="str">
        <f>INDEX('8oferty s.'!B4:G29,MATCH(8,B4:B29,0),1)</f>
        <v>przeworski</v>
      </c>
      <c r="D11" s="6">
        <f>INDEX('8oferty s.'!B4:G29,MATCH(8,B4:B29,0),2)</f>
        <v>7</v>
      </c>
      <c r="E11" s="42">
        <f>INDEX('8oferty s.'!B4:G29,MATCH(8,B4:B29,0),3)</f>
        <v>119</v>
      </c>
      <c r="F11" s="6">
        <f>INDEX('8oferty s.'!B4:G29,MATCH(8,B4:B29,0),4)</f>
        <v>-112</v>
      </c>
      <c r="G11" s="42">
        <f>INDEX('8oferty s.'!B4:G29,MATCH(8,B4:B29,0),5)</f>
        <v>32</v>
      </c>
      <c r="H11" s="6">
        <f>INDEX('8oferty s.'!B4:G29,MATCH(8,B4:B29,0),6)</f>
        <v>-25</v>
      </c>
    </row>
    <row r="12" spans="2:8" x14ac:dyDescent="0.2">
      <c r="B12" s="6">
        <f>RANK('8oferty s.'!C12,'8oferty s.'!$C$4:'8oferty s.'!$C$29,1)+COUNTIF('8oferty s.'!$C$4:'8oferty s.'!C12,'8oferty s.'!C12)-1</f>
        <v>18</v>
      </c>
      <c r="C12" s="5" t="str">
        <f>INDEX('8oferty s.'!B4:G29,MATCH(9,B4:B29,0),1)</f>
        <v>strzyżowski</v>
      </c>
      <c r="D12" s="6">
        <f>INDEX('8oferty s.'!B4:G29,MATCH(9,B4:B29,0),2)</f>
        <v>7</v>
      </c>
      <c r="E12" s="42">
        <f>INDEX('8oferty s.'!B4:G29,MATCH(9,B4:B29,0),3)</f>
        <v>38</v>
      </c>
      <c r="F12" s="6">
        <f>INDEX('8oferty s.'!B4:G29,MATCH(9,B4:B29,0),4)</f>
        <v>-31</v>
      </c>
      <c r="G12" s="42">
        <f>INDEX('8oferty s.'!B4:G29,MATCH(9,B4:B29,0),5)</f>
        <v>53</v>
      </c>
      <c r="H12" s="6">
        <f>INDEX('8oferty s.'!B4:G29,MATCH(9,B4:B29,0),6)</f>
        <v>-46</v>
      </c>
    </row>
    <row r="13" spans="2:8" x14ac:dyDescent="0.2">
      <c r="B13" s="6">
        <f>RANK('8oferty s.'!C13,'8oferty s.'!$C$4:'8oferty s.'!$C$29,1)+COUNTIF('8oferty s.'!$C$4:'8oferty s.'!C13,'8oferty s.'!C13)-1</f>
        <v>3</v>
      </c>
      <c r="C13" s="5" t="str">
        <f>INDEX('8oferty s.'!B4:G29,MATCH(10,B4:B29,0),1)</f>
        <v>kolbuszowski</v>
      </c>
      <c r="D13" s="6">
        <f>INDEX('8oferty s.'!B4:G29,MATCH(10,B4:B29,0),2)</f>
        <v>8</v>
      </c>
      <c r="E13" s="42">
        <f>INDEX('8oferty s.'!B4:G29,MATCH(10,B4:B29,0),3)</f>
        <v>29</v>
      </c>
      <c r="F13" s="6">
        <f>INDEX('8oferty s.'!B4:G29,MATCH(10,B4:B29,0),4)</f>
        <v>-21</v>
      </c>
      <c r="G13" s="42">
        <f>INDEX('8oferty s.'!B4:G29,MATCH(10,B4:B29,0),5)</f>
        <v>28</v>
      </c>
      <c r="H13" s="6">
        <f>INDEX('8oferty s.'!B4:G29,MATCH(10,B4:B29,0),6)</f>
        <v>-20</v>
      </c>
    </row>
    <row r="14" spans="2:8" x14ac:dyDescent="0.2">
      <c r="B14" s="6">
        <f>RANK('8oferty s.'!C14,'8oferty s.'!$C$4:'8oferty s.'!$C$29,1)+COUNTIF('8oferty s.'!$C$4:'8oferty s.'!C14,'8oferty s.'!C14)-1</f>
        <v>15</v>
      </c>
      <c r="C14" s="5" t="str">
        <f>INDEX('8oferty s.'!B4:G29,MATCH(11,B4:B29,0),1)</f>
        <v>sanocki</v>
      </c>
      <c r="D14" s="6">
        <f>INDEX('8oferty s.'!B4:G29,MATCH(11,B4:B29,0),2)</f>
        <v>9</v>
      </c>
      <c r="E14" s="42">
        <f>INDEX('8oferty s.'!B4:G29,MATCH(11,B4:B29,0),3)</f>
        <v>34</v>
      </c>
      <c r="F14" s="6">
        <f>INDEX('8oferty s.'!B4:G29,MATCH(11,B4:B29,0),4)</f>
        <v>-25</v>
      </c>
      <c r="G14" s="42">
        <f>INDEX('8oferty s.'!B4:G29,MATCH(11,B4:B29,0),5)</f>
        <v>43</v>
      </c>
      <c r="H14" s="6">
        <f>INDEX('8oferty s.'!B4:G29,MATCH(11,B4:B29,0),6)</f>
        <v>-34</v>
      </c>
    </row>
    <row r="15" spans="2:8" x14ac:dyDescent="0.2">
      <c r="B15" s="6">
        <f>RANK('8oferty s.'!C15,'8oferty s.'!$C$4:'8oferty s.'!$C$29,1)+COUNTIF('8oferty s.'!$C$4:'8oferty s.'!C15,'8oferty s.'!C15)-1</f>
        <v>25</v>
      </c>
      <c r="C15" s="5" t="str">
        <f>INDEX('8oferty s.'!B4:G29,MATCH(12,B4:B29,0),1)</f>
        <v>rzeszowski</v>
      </c>
      <c r="D15" s="6">
        <f>INDEX('8oferty s.'!B4:G29,MATCH(12,B4:B29,0),2)</f>
        <v>10</v>
      </c>
      <c r="E15" s="42">
        <f>INDEX('8oferty s.'!B4:G29,MATCH(12,B4:B29,0),3)</f>
        <v>40</v>
      </c>
      <c r="F15" s="6">
        <f>INDEX('8oferty s.'!B4:G29,MATCH(12,B4:B29,0),4)</f>
        <v>-30</v>
      </c>
      <c r="G15" s="42">
        <f>INDEX('8oferty s.'!B4:G29,MATCH(12,B4:B29,0),5)</f>
        <v>66</v>
      </c>
      <c r="H15" s="6">
        <f>INDEX('8oferty s.'!B4:G29,MATCH(12,B4:B29,0),6)</f>
        <v>-56</v>
      </c>
    </row>
    <row r="16" spans="2:8" x14ac:dyDescent="0.2">
      <c r="B16" s="6">
        <f>RANK('8oferty s.'!C16,'8oferty s.'!$C$4:'8oferty s.'!$C$29,1)+COUNTIF('8oferty s.'!$C$4:'8oferty s.'!C16,'8oferty s.'!C16)-1</f>
        <v>7</v>
      </c>
      <c r="C16" s="5" t="str">
        <f>INDEX('8oferty s.'!B4:G29,MATCH(13,B4:B29,0),1)</f>
        <v>leski</v>
      </c>
      <c r="D16" s="6">
        <f>INDEX('8oferty s.'!B4:G29,MATCH(13,B4:B29,0),2)</f>
        <v>12</v>
      </c>
      <c r="E16" s="42">
        <f>INDEX('8oferty s.'!B4:G29,MATCH(13,B4:B29,0),3)</f>
        <v>13</v>
      </c>
      <c r="F16" s="6">
        <f>INDEX('8oferty s.'!B4:G29,MATCH(13,B4:B29,0),4)</f>
        <v>-1</v>
      </c>
      <c r="G16" s="42">
        <f>INDEX('8oferty s.'!B4:G29,MATCH(13,B4:B29,0),5)</f>
        <v>19</v>
      </c>
      <c r="H16" s="6">
        <f>INDEX('8oferty s.'!B4:G29,MATCH(13,B4:B29,0),6)</f>
        <v>-7</v>
      </c>
    </row>
    <row r="17" spans="2:8" x14ac:dyDescent="0.2">
      <c r="B17" s="6">
        <f>RANK('8oferty s.'!C17,'8oferty s.'!$C$4:'8oferty s.'!$C$29,1)+COUNTIF('8oferty s.'!$C$4:'8oferty s.'!C17,'8oferty s.'!C17)-1</f>
        <v>14</v>
      </c>
      <c r="C17" s="5" t="str">
        <f>INDEX('8oferty s.'!B4:G29,MATCH(14,B4:B29,0),1)</f>
        <v>przemyski</v>
      </c>
      <c r="D17" s="6">
        <f>INDEX('8oferty s.'!B4:G29,MATCH(14,B4:B29,0),2)</f>
        <v>12</v>
      </c>
      <c r="E17" s="42">
        <f>INDEX('8oferty s.'!B4:G29,MATCH(14,B4:B29,0),3)</f>
        <v>17</v>
      </c>
      <c r="F17" s="6">
        <f>INDEX('8oferty s.'!B4:G29,MATCH(14,B4:B29,0),4)</f>
        <v>-5</v>
      </c>
      <c r="G17" s="42">
        <f>INDEX('8oferty s.'!B4:G29,MATCH(14,B4:B29,0),5)</f>
        <v>21</v>
      </c>
      <c r="H17" s="6">
        <f>INDEX('8oferty s.'!B4:G29,MATCH(14,B4:B29,0),6)</f>
        <v>-9</v>
      </c>
    </row>
    <row r="18" spans="2:8" x14ac:dyDescent="0.2">
      <c r="B18" s="6">
        <f>RANK('8oferty s.'!C18,'8oferty s.'!$C$4:'8oferty s.'!$C$29,1)+COUNTIF('8oferty s.'!$C$4:'8oferty s.'!C18,'8oferty s.'!C18)-1</f>
        <v>8</v>
      </c>
      <c r="C18" s="5" t="str">
        <f>INDEX('8oferty s.'!B4:G29,MATCH(15,B4:B29,0),1)</f>
        <v>łańcucki</v>
      </c>
      <c r="D18" s="6">
        <f>INDEX('8oferty s.'!B4:G29,MATCH(15,B4:B29,0),2)</f>
        <v>15</v>
      </c>
      <c r="E18" s="42">
        <f>INDEX('8oferty s.'!B4:G29,MATCH(15,B4:B29,0),3)</f>
        <v>46</v>
      </c>
      <c r="F18" s="6">
        <f>INDEX('8oferty s.'!B4:G29,MATCH(15,B4:B29,0),4)</f>
        <v>-31</v>
      </c>
      <c r="G18" s="42">
        <f>INDEX('8oferty s.'!B4:G29,MATCH(15,B4:B29,0),5)</f>
        <v>54</v>
      </c>
      <c r="H18" s="6">
        <f>INDEX('8oferty s.'!B4:G29,MATCH(15,B4:B29,0),6)</f>
        <v>-39</v>
      </c>
    </row>
    <row r="19" spans="2:8" x14ac:dyDescent="0.2">
      <c r="B19" s="6">
        <f>RANK('8oferty s.'!C19,'8oferty s.'!$C$4:'8oferty s.'!$C$29,1)+COUNTIF('8oferty s.'!$C$4:'8oferty s.'!C19,'8oferty s.'!C19)-1</f>
        <v>4</v>
      </c>
      <c r="C19" s="5" t="str">
        <f>INDEX('8oferty s.'!B4:G29,MATCH(16,B4:B29,0),1)</f>
        <v xml:space="preserve">tarnobrzeski </v>
      </c>
      <c r="D19" s="6">
        <f>INDEX('8oferty s.'!B4:G29,MATCH(16,B4:B29,0),2)</f>
        <v>15</v>
      </c>
      <c r="E19" s="42">
        <f>INDEX('8oferty s.'!B4:G29,MATCH(16,B4:B29,0),3)</f>
        <v>9</v>
      </c>
      <c r="F19" s="6">
        <f>INDEX('8oferty s.'!B4:G29,MATCH(16,B4:B29,0),4)</f>
        <v>6</v>
      </c>
      <c r="G19" s="42">
        <f>INDEX('8oferty s.'!B4:G29,MATCH(16,B4:B29,0),5)</f>
        <v>8</v>
      </c>
      <c r="H19" s="6">
        <f>INDEX('8oferty s.'!B4:G29,MATCH(16,B4:B29,0),6)</f>
        <v>7</v>
      </c>
    </row>
    <row r="20" spans="2:8" x14ac:dyDescent="0.2">
      <c r="B20" s="6">
        <f>RANK('8oferty s.'!C20,'8oferty s.'!$C$4:'8oferty s.'!$C$29,1)+COUNTIF('8oferty s.'!$C$4:'8oferty s.'!C20,'8oferty s.'!C20)-1</f>
        <v>12</v>
      </c>
      <c r="C20" s="5" t="str">
        <f>INDEX('8oferty s.'!B4:G29,MATCH(17,B4:B29,0),1)</f>
        <v>krośnieński</v>
      </c>
      <c r="D20" s="6">
        <f>INDEX('8oferty s.'!B4:G29,MATCH(17,B4:B29,0),2)</f>
        <v>16</v>
      </c>
      <c r="E20" s="42">
        <f>INDEX('8oferty s.'!B4:G29,MATCH(17,B4:B29,0),3)</f>
        <v>23</v>
      </c>
      <c r="F20" s="6">
        <f>INDEX('8oferty s.'!B4:G29,MATCH(17,B4:B29,0),4)</f>
        <v>-7</v>
      </c>
      <c r="G20" s="42">
        <f>INDEX('8oferty s.'!B4:G29,MATCH(17,B4:B29,0),5)</f>
        <v>28</v>
      </c>
      <c r="H20" s="6">
        <f>INDEX('8oferty s.'!B4:G29,MATCH(17,B4:B29,0),6)</f>
        <v>-12</v>
      </c>
    </row>
    <row r="21" spans="2:8" x14ac:dyDescent="0.2">
      <c r="B21" s="6">
        <f>RANK('8oferty s.'!C21,'8oferty s.'!$C$4:'8oferty s.'!$C$29,1)+COUNTIF('8oferty s.'!$C$4:'8oferty s.'!C21,'8oferty s.'!C21)-1</f>
        <v>11</v>
      </c>
      <c r="C21" s="5" t="str">
        <f>INDEX('8oferty s.'!B4:G29,MATCH(18,B4:B29,0),1)</f>
        <v>leżajski</v>
      </c>
      <c r="D21" s="6">
        <f>INDEX('8oferty s.'!B4:G29,MATCH(18,B4:B29,0),2)</f>
        <v>18</v>
      </c>
      <c r="E21" s="42">
        <f>INDEX('8oferty s.'!B4:G29,MATCH(18,B4:B29,0),3)</f>
        <v>14</v>
      </c>
      <c r="F21" s="6">
        <f>INDEX('8oferty s.'!B4:G29,MATCH(18,B4:B29,0),4)</f>
        <v>4</v>
      </c>
      <c r="G21" s="42">
        <f>INDEX('8oferty s.'!B4:G29,MATCH(18,B4:B29,0),5)</f>
        <v>51</v>
      </c>
      <c r="H21" s="6">
        <f>INDEX('8oferty s.'!B4:G29,MATCH(18,B4:B29,0),6)</f>
        <v>-33</v>
      </c>
    </row>
    <row r="22" spans="2:8" x14ac:dyDescent="0.2">
      <c r="B22" s="6">
        <f>RANK('8oferty s.'!C22,'8oferty s.'!$C$4:'8oferty s.'!$C$29,1)+COUNTIF('8oferty s.'!$C$4:'8oferty s.'!C22,'8oferty s.'!C22)-1</f>
        <v>23</v>
      </c>
      <c r="C22" s="5" t="str">
        <f>INDEX('8oferty s.'!B4:G29,MATCH(19,B4:B29,0),1)</f>
        <v>Rzeszów</v>
      </c>
      <c r="D22" s="6">
        <f>INDEX('8oferty s.'!B4:G29,MATCH(19,B4:B29,0),2)</f>
        <v>21</v>
      </c>
      <c r="E22" s="42">
        <f>INDEX('8oferty s.'!B4:G29,MATCH(19,B4:B29,0),3)</f>
        <v>70</v>
      </c>
      <c r="F22" s="6">
        <f>INDEX('8oferty s.'!B4:G29,MATCH(19,B4:B29,0),4)</f>
        <v>-49</v>
      </c>
      <c r="G22" s="42">
        <f>INDEX('8oferty s.'!B4:G29,MATCH(19,B4:B29,0),5)</f>
        <v>118</v>
      </c>
      <c r="H22" s="6">
        <f>INDEX('8oferty s.'!B4:G29,MATCH(19,B4:B29,0),6)</f>
        <v>-97</v>
      </c>
    </row>
    <row r="23" spans="2:8" x14ac:dyDescent="0.2">
      <c r="B23" s="6">
        <f>RANK('8oferty s.'!C23,'8oferty s.'!$C$4:'8oferty s.'!$C$29,1)+COUNTIF('8oferty s.'!$C$4:'8oferty s.'!C23,'8oferty s.'!C23)-1</f>
        <v>9</v>
      </c>
      <c r="C23" s="5" t="str">
        <f>INDEX('8oferty s.'!B4:G29,MATCH(20,B4:B29,0),1)</f>
        <v>Tarnobrzeg</v>
      </c>
      <c r="D23" s="6">
        <f>INDEX('8oferty s.'!B4:G29,MATCH(20,B4:B29,0),2)</f>
        <v>21</v>
      </c>
      <c r="E23" s="42">
        <f>INDEX('8oferty s.'!B4:G29,MATCH(20,B4:B29,0),3)</f>
        <v>21</v>
      </c>
      <c r="F23" s="6">
        <f>INDEX('8oferty s.'!B4:G29,MATCH(20,B4:B29,0),4)</f>
        <v>0</v>
      </c>
      <c r="G23" s="42">
        <f>INDEX('8oferty s.'!B4:G29,MATCH(20,B4:B29,0),5)</f>
        <v>12</v>
      </c>
      <c r="H23" s="6">
        <f>INDEX('8oferty s.'!B4:G29,MATCH(20,B4:B29,0),6)</f>
        <v>9</v>
      </c>
    </row>
    <row r="24" spans="2:8" x14ac:dyDescent="0.2">
      <c r="B24" s="6">
        <f>RANK('8oferty s.'!C24,'8oferty s.'!$C$4:'8oferty s.'!$C$29,1)+COUNTIF('8oferty s.'!$C$4:'8oferty s.'!C24,'8oferty s.'!C24)-1</f>
        <v>16</v>
      </c>
      <c r="C24" s="5" t="str">
        <f>INDEX('8oferty s.'!B4:G29,MATCH(21,B4:B29,0),1)</f>
        <v>Przemyśl</v>
      </c>
      <c r="D24" s="6">
        <f>INDEX('8oferty s.'!B4:G29,MATCH(21,B4:B29,0),2)</f>
        <v>23</v>
      </c>
      <c r="E24" s="42">
        <f>INDEX('8oferty s.'!B4:G29,MATCH(21,B4:B29,0),3)</f>
        <v>25</v>
      </c>
      <c r="F24" s="6">
        <f>INDEX('8oferty s.'!B4:G29,MATCH(21,B4:B29,0),4)</f>
        <v>-2</v>
      </c>
      <c r="G24" s="42">
        <f>INDEX('8oferty s.'!B4:G29,MATCH(21,B4:B29,0),5)</f>
        <v>39</v>
      </c>
      <c r="H24" s="6">
        <f>INDEX('8oferty s.'!B4:G29,MATCH(21,B4:B29,0),6)</f>
        <v>-16</v>
      </c>
    </row>
    <row r="25" spans="2:8" x14ac:dyDescent="0.2">
      <c r="B25" s="6">
        <f>RANK('8oferty s.'!C25,'8oferty s.'!$C$4:'8oferty s.'!$C$29,1)+COUNTIF('8oferty s.'!$C$4:'8oferty s.'!C25,'8oferty s.'!C25)-1</f>
        <v>22</v>
      </c>
      <c r="C25" s="5" t="str">
        <f>INDEX('8oferty s.'!B4:G29,MATCH(22,B4:B29,0),1)</f>
        <v>Krosno</v>
      </c>
      <c r="D25" s="6">
        <f>INDEX('8oferty s.'!B4:G29,MATCH(22,B4:B29,0),2)</f>
        <v>24</v>
      </c>
      <c r="E25" s="42">
        <f>INDEX('8oferty s.'!B4:G29,MATCH(22,B4:B29,0),3)</f>
        <v>8</v>
      </c>
      <c r="F25" s="6">
        <f>INDEX('8oferty s.'!B4:G29,MATCH(22,B4:B29,0),4)</f>
        <v>16</v>
      </c>
      <c r="G25" s="42">
        <f>INDEX('8oferty s.'!B4:G29,MATCH(22,B4:B29,0),5)</f>
        <v>23</v>
      </c>
      <c r="H25" s="6">
        <f>INDEX('8oferty s.'!B4:G29,MATCH(22,B4:B29,0),6)</f>
        <v>1</v>
      </c>
    </row>
    <row r="26" spans="2:8" x14ac:dyDescent="0.2">
      <c r="B26" s="6">
        <f>RANK('8oferty s.'!C26,'8oferty s.'!$C$4:'8oferty s.'!$C$29,1)+COUNTIF('8oferty s.'!$C$4:'8oferty s.'!C26,'8oferty s.'!C26)-1</f>
        <v>21</v>
      </c>
      <c r="C26" s="5" t="str">
        <f>INDEX('8oferty s.'!B4:G29,MATCH(23,B4:B29,0),1)</f>
        <v>stalowowolski</v>
      </c>
      <c r="D26" s="6">
        <f>INDEX('8oferty s.'!B4:G29,MATCH(23,B4:B29,0),2)</f>
        <v>25</v>
      </c>
      <c r="E26" s="42">
        <f>INDEX('8oferty s.'!B4:G29,MATCH(23,B4:B29,0),3)</f>
        <v>42</v>
      </c>
      <c r="F26" s="6">
        <f>INDEX('8oferty s.'!B4:G29,MATCH(23,B4:B29,0),4)</f>
        <v>-17</v>
      </c>
      <c r="G26" s="42">
        <f>INDEX('8oferty s.'!B4:G29,MATCH(23,B4:B29,0),5)</f>
        <v>36</v>
      </c>
      <c r="H26" s="6">
        <f>INDEX('8oferty s.'!B4:G29,MATCH(23,B4:B29,0),6)</f>
        <v>-11</v>
      </c>
    </row>
    <row r="27" spans="2:8" x14ac:dyDescent="0.2">
      <c r="B27" s="6">
        <f>RANK('8oferty s.'!C27,'8oferty s.'!$C$4:'8oferty s.'!$C$29,1)+COUNTIF('8oferty s.'!$C$4:'8oferty s.'!C27,'8oferty s.'!C27)-1</f>
        <v>19</v>
      </c>
      <c r="C27" s="5" t="str">
        <f>INDEX('8oferty s.'!B4:G29,MATCH(24,B4:B29,0),1)</f>
        <v>jasielski</v>
      </c>
      <c r="D27" s="6">
        <f>INDEX('8oferty s.'!B4:G29,MATCH(24,B4:B29,0),2)</f>
        <v>39</v>
      </c>
      <c r="E27" s="42">
        <f>INDEX('8oferty s.'!B4:G29,MATCH(24,B4:B29,0),3)</f>
        <v>78</v>
      </c>
      <c r="F27" s="6">
        <f>INDEX('8oferty s.'!B4:G29,MATCH(24,B4:B29,0),4)</f>
        <v>-39</v>
      </c>
      <c r="G27" s="42">
        <f>INDEX('8oferty s.'!B4:G29,MATCH(24,B4:B29,0),5)</f>
        <v>72</v>
      </c>
      <c r="H27" s="6">
        <f>INDEX('8oferty s.'!B4:G29,MATCH(24,B4:B29,0),6)</f>
        <v>-33</v>
      </c>
    </row>
    <row r="28" spans="2:8" x14ac:dyDescent="0.2">
      <c r="B28" s="6">
        <f>RANK('8oferty s.'!C28,'8oferty s.'!$C$4:'8oferty s.'!$C$29,1)+COUNTIF('8oferty s.'!$C$4:'8oferty s.'!C28,'8oferty s.'!C28)-1</f>
        <v>20</v>
      </c>
      <c r="C28" s="5" t="str">
        <f>INDEX('8oferty s.'!B4:G29,MATCH(25,B4:B29,0),1)</f>
        <v>mielecki</v>
      </c>
      <c r="D28" s="6">
        <f>INDEX('8oferty s.'!B4:G29,MATCH(25,B4:B29,0),2)</f>
        <v>52</v>
      </c>
      <c r="E28" s="42">
        <f>INDEX('8oferty s.'!B4:G29,MATCH(25,B4:B29,0),3)</f>
        <v>78</v>
      </c>
      <c r="F28" s="6">
        <f>INDEX('8oferty s.'!B4:G29,MATCH(25,B4:B29,0),4)</f>
        <v>-26</v>
      </c>
      <c r="G28" s="42">
        <f>INDEX('8oferty s.'!B4:G29,MATCH(25,B4:B29,0),5)</f>
        <v>47</v>
      </c>
      <c r="H28" s="6">
        <f>INDEX('8oferty s.'!B4:G29,MATCH(25,B4:B29,0),6)</f>
        <v>5</v>
      </c>
    </row>
    <row r="29" spans="2:8" ht="15" x14ac:dyDescent="0.25">
      <c r="B29" s="40">
        <f>RANK('8oferty s.'!C29,'8oferty s.'!$C$4:'8oferty s.'!$C$29,1)+COUNTIF('8oferty s.'!$C$4:'8oferty s.'!C29,'8oferty s.'!C29)-1</f>
        <v>26</v>
      </c>
      <c r="C29" s="39" t="str">
        <f>INDEX('8oferty s.'!B4:G29,MATCH(26,B4:B29,0),1)</f>
        <v>województwo</v>
      </c>
      <c r="D29" s="40">
        <f>INDEX('8oferty s.'!B4:G29,MATCH(26,B4:B29,0),2)</f>
        <v>357</v>
      </c>
      <c r="E29" s="44">
        <f>INDEX('8oferty s.'!B4:G29,MATCH(26,B4:B29,0),3)</f>
        <v>1047</v>
      </c>
      <c r="F29" s="40">
        <f>INDEX('8oferty s.'!B4:G29,MATCH(26,B4:B29,0),4)</f>
        <v>-690</v>
      </c>
      <c r="G29" s="44">
        <f>INDEX('8oferty s.'!B4:G29,MATCH(26,B4:B29,0),5)</f>
        <v>1101</v>
      </c>
      <c r="H29" s="40">
        <f>INDEX('8oferty s.'!B4:G29,MATCH(26,B4:B29,0),6)</f>
        <v>-744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theme="9" tint="0.79998168889431442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7109375" style="3" customWidth="1"/>
    <col min="4" max="4" width="11.7109375" style="3" customWidth="1"/>
    <col min="5" max="5" width="16.28515625" style="3" customWidth="1"/>
    <col min="6" max="6" width="13.14062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32" t="s">
        <v>60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61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95</v>
      </c>
      <c r="D3" s="38" t="s">
        <v>76</v>
      </c>
      <c r="E3" s="37" t="s">
        <v>28</v>
      </c>
      <c r="F3" s="38" t="s">
        <v>96</v>
      </c>
      <c r="G3" s="37" t="s">
        <v>26</v>
      </c>
    </row>
    <row r="4" spans="2:11" x14ac:dyDescent="0.2">
      <c r="B4" s="5" t="s">
        <v>0</v>
      </c>
      <c r="C4" s="28">
        <v>17</v>
      </c>
      <c r="D4" s="42">
        <v>17</v>
      </c>
      <c r="E4" s="28">
        <f t="shared" ref="E4:E28" si="0">SUM(C4)-D4</f>
        <v>0</v>
      </c>
      <c r="F4" s="42">
        <v>31</v>
      </c>
      <c r="G4" s="28">
        <f t="shared" ref="G4:G28" si="1">SUM(C4)-F4</f>
        <v>-14</v>
      </c>
      <c r="H4" s="7"/>
    </row>
    <row r="5" spans="2:11" x14ac:dyDescent="0.2">
      <c r="B5" s="5" t="s">
        <v>1</v>
      </c>
      <c r="C5" s="28">
        <v>2</v>
      </c>
      <c r="D5" s="42">
        <v>2</v>
      </c>
      <c r="E5" s="28">
        <f t="shared" si="0"/>
        <v>0</v>
      </c>
      <c r="F5" s="42">
        <v>17</v>
      </c>
      <c r="G5" s="28">
        <f t="shared" si="1"/>
        <v>-15</v>
      </c>
      <c r="H5" s="7"/>
    </row>
    <row r="6" spans="2:11" x14ac:dyDescent="0.2">
      <c r="B6" s="5" t="s">
        <v>2</v>
      </c>
      <c r="C6" s="28">
        <v>128</v>
      </c>
      <c r="D6" s="42">
        <v>166</v>
      </c>
      <c r="E6" s="28">
        <f t="shared" si="0"/>
        <v>-38</v>
      </c>
      <c r="F6" s="42">
        <v>164</v>
      </c>
      <c r="G6" s="28">
        <f t="shared" si="1"/>
        <v>-36</v>
      </c>
      <c r="H6" s="7"/>
    </row>
    <row r="7" spans="2:11" x14ac:dyDescent="0.2">
      <c r="B7" s="5" t="s">
        <v>3</v>
      </c>
      <c r="C7" s="28">
        <v>39</v>
      </c>
      <c r="D7" s="42">
        <v>19</v>
      </c>
      <c r="E7" s="28">
        <f t="shared" si="0"/>
        <v>20</v>
      </c>
      <c r="F7" s="42">
        <v>102</v>
      </c>
      <c r="G7" s="28">
        <f t="shared" si="1"/>
        <v>-63</v>
      </c>
      <c r="H7" s="7"/>
    </row>
    <row r="8" spans="2:11" x14ac:dyDescent="0.2">
      <c r="B8" s="5" t="s">
        <v>4</v>
      </c>
      <c r="C8" s="28">
        <v>133</v>
      </c>
      <c r="D8" s="42">
        <v>116</v>
      </c>
      <c r="E8" s="28">
        <f t="shared" si="0"/>
        <v>17</v>
      </c>
      <c r="F8" s="42">
        <v>48</v>
      </c>
      <c r="G8" s="28">
        <f t="shared" si="1"/>
        <v>85</v>
      </c>
      <c r="H8" s="7"/>
    </row>
    <row r="9" spans="2:11" x14ac:dyDescent="0.2">
      <c r="B9" s="5" t="s">
        <v>5</v>
      </c>
      <c r="C9" s="28">
        <v>37</v>
      </c>
      <c r="D9" s="42">
        <v>31</v>
      </c>
      <c r="E9" s="28">
        <f t="shared" si="0"/>
        <v>6</v>
      </c>
      <c r="F9" s="42">
        <v>63</v>
      </c>
      <c r="G9" s="28">
        <f t="shared" si="1"/>
        <v>-26</v>
      </c>
      <c r="H9" s="7"/>
    </row>
    <row r="10" spans="2:11" x14ac:dyDescent="0.2">
      <c r="B10" s="9" t="s">
        <v>6</v>
      </c>
      <c r="C10" s="28">
        <v>26</v>
      </c>
      <c r="D10" s="42">
        <v>21</v>
      </c>
      <c r="E10" s="28">
        <f t="shared" si="0"/>
        <v>5</v>
      </c>
      <c r="F10" s="42">
        <v>105</v>
      </c>
      <c r="G10" s="28">
        <f t="shared" si="1"/>
        <v>-79</v>
      </c>
      <c r="H10" s="7"/>
    </row>
    <row r="11" spans="2:11" x14ac:dyDescent="0.2">
      <c r="B11" s="5" t="s">
        <v>7</v>
      </c>
      <c r="C11" s="28">
        <v>25</v>
      </c>
      <c r="D11" s="42">
        <v>54</v>
      </c>
      <c r="E11" s="28">
        <f t="shared" si="0"/>
        <v>-29</v>
      </c>
      <c r="F11" s="42">
        <v>37</v>
      </c>
      <c r="G11" s="28">
        <f t="shared" si="1"/>
        <v>-12</v>
      </c>
      <c r="H11" s="7"/>
    </row>
    <row r="12" spans="2:11" x14ac:dyDescent="0.2">
      <c r="B12" s="5" t="s">
        <v>8</v>
      </c>
      <c r="C12" s="28">
        <v>27</v>
      </c>
      <c r="D12" s="42">
        <v>25</v>
      </c>
      <c r="E12" s="28">
        <f t="shared" si="0"/>
        <v>2</v>
      </c>
      <c r="F12" s="42">
        <v>48</v>
      </c>
      <c r="G12" s="28">
        <f t="shared" si="1"/>
        <v>-21</v>
      </c>
      <c r="H12" s="7"/>
    </row>
    <row r="13" spans="2:11" x14ac:dyDescent="0.2">
      <c r="B13" s="5" t="s">
        <v>9</v>
      </c>
      <c r="C13" s="28">
        <v>54</v>
      </c>
      <c r="D13" s="42">
        <v>50</v>
      </c>
      <c r="E13" s="28">
        <f t="shared" si="0"/>
        <v>4</v>
      </c>
      <c r="F13" s="42">
        <v>47</v>
      </c>
      <c r="G13" s="28">
        <f t="shared" si="1"/>
        <v>7</v>
      </c>
      <c r="H13" s="7"/>
    </row>
    <row r="14" spans="2:11" x14ac:dyDescent="0.2">
      <c r="B14" s="5" t="s">
        <v>10</v>
      </c>
      <c r="C14" s="28">
        <v>34</v>
      </c>
      <c r="D14" s="42">
        <v>22</v>
      </c>
      <c r="E14" s="28">
        <f t="shared" si="0"/>
        <v>12</v>
      </c>
      <c r="F14" s="42">
        <v>34</v>
      </c>
      <c r="G14" s="28">
        <f t="shared" si="1"/>
        <v>0</v>
      </c>
      <c r="H14" s="7"/>
    </row>
    <row r="15" spans="2:11" x14ac:dyDescent="0.2">
      <c r="B15" s="5" t="s">
        <v>11</v>
      </c>
      <c r="C15" s="28">
        <v>294</v>
      </c>
      <c r="D15" s="42">
        <v>262</v>
      </c>
      <c r="E15" s="28">
        <f t="shared" si="0"/>
        <v>32</v>
      </c>
      <c r="F15" s="42">
        <v>397</v>
      </c>
      <c r="G15" s="28">
        <f t="shared" si="1"/>
        <v>-103</v>
      </c>
      <c r="H15" s="7"/>
    </row>
    <row r="16" spans="2:11" x14ac:dyDescent="0.2">
      <c r="B16" s="5" t="s">
        <v>12</v>
      </c>
      <c r="C16" s="28">
        <v>43</v>
      </c>
      <c r="D16" s="42">
        <v>75</v>
      </c>
      <c r="E16" s="28">
        <f t="shared" si="0"/>
        <v>-32</v>
      </c>
      <c r="F16" s="42">
        <v>93</v>
      </c>
      <c r="G16" s="28">
        <f t="shared" si="1"/>
        <v>-50</v>
      </c>
      <c r="H16" s="7"/>
    </row>
    <row r="17" spans="2:8" x14ac:dyDescent="0.2">
      <c r="B17" s="5" t="s">
        <v>13</v>
      </c>
      <c r="C17" s="28">
        <v>12</v>
      </c>
      <c r="D17" s="42">
        <v>6</v>
      </c>
      <c r="E17" s="28">
        <f t="shared" si="0"/>
        <v>6</v>
      </c>
      <c r="F17" s="42">
        <v>21</v>
      </c>
      <c r="G17" s="28">
        <f t="shared" si="1"/>
        <v>-9</v>
      </c>
      <c r="H17" s="7"/>
    </row>
    <row r="18" spans="2:8" x14ac:dyDescent="0.2">
      <c r="B18" s="5" t="s">
        <v>14</v>
      </c>
      <c r="C18" s="28">
        <v>79</v>
      </c>
      <c r="D18" s="42">
        <v>172</v>
      </c>
      <c r="E18" s="28">
        <f t="shared" si="0"/>
        <v>-93</v>
      </c>
      <c r="F18" s="42">
        <v>147</v>
      </c>
      <c r="G18" s="28">
        <f t="shared" si="1"/>
        <v>-68</v>
      </c>
      <c r="H18" s="7"/>
    </row>
    <row r="19" spans="2:8" x14ac:dyDescent="0.2">
      <c r="B19" s="5" t="s">
        <v>15</v>
      </c>
      <c r="C19" s="28">
        <v>69</v>
      </c>
      <c r="D19" s="42">
        <v>54</v>
      </c>
      <c r="E19" s="28">
        <f t="shared" si="0"/>
        <v>15</v>
      </c>
      <c r="F19" s="42">
        <v>61</v>
      </c>
      <c r="G19" s="28">
        <f t="shared" si="1"/>
        <v>8</v>
      </c>
      <c r="H19" s="7"/>
    </row>
    <row r="20" spans="2:8" x14ac:dyDescent="0.2">
      <c r="B20" s="5" t="s">
        <v>16</v>
      </c>
      <c r="C20" s="28">
        <v>74</v>
      </c>
      <c r="D20" s="42">
        <v>80</v>
      </c>
      <c r="E20" s="28">
        <f t="shared" si="0"/>
        <v>-6</v>
      </c>
      <c r="F20" s="42">
        <v>64</v>
      </c>
      <c r="G20" s="28">
        <f t="shared" si="1"/>
        <v>10</v>
      </c>
      <c r="H20" s="7"/>
    </row>
    <row r="21" spans="2:8" x14ac:dyDescent="0.2">
      <c r="B21" s="5" t="s">
        <v>17</v>
      </c>
      <c r="C21" s="28">
        <v>22</v>
      </c>
      <c r="D21" s="42">
        <v>18</v>
      </c>
      <c r="E21" s="28">
        <f t="shared" si="0"/>
        <v>4</v>
      </c>
      <c r="F21" s="42">
        <v>24</v>
      </c>
      <c r="G21" s="28">
        <f t="shared" si="1"/>
        <v>-2</v>
      </c>
      <c r="H21" s="7"/>
    </row>
    <row r="22" spans="2:8" x14ac:dyDescent="0.2">
      <c r="B22" s="5" t="s">
        <v>18</v>
      </c>
      <c r="C22" s="28">
        <v>72</v>
      </c>
      <c r="D22" s="42">
        <v>47</v>
      </c>
      <c r="E22" s="28">
        <f t="shared" si="0"/>
        <v>25</v>
      </c>
      <c r="F22" s="42">
        <v>92</v>
      </c>
      <c r="G22" s="28">
        <f t="shared" si="1"/>
        <v>-20</v>
      </c>
      <c r="H22" s="7"/>
    </row>
    <row r="23" spans="2:8" x14ac:dyDescent="0.2">
      <c r="B23" s="5" t="s">
        <v>19</v>
      </c>
      <c r="C23" s="28">
        <v>19</v>
      </c>
      <c r="D23" s="42">
        <v>47</v>
      </c>
      <c r="E23" s="28">
        <f t="shared" si="0"/>
        <v>-28</v>
      </c>
      <c r="F23" s="42">
        <v>48</v>
      </c>
      <c r="G23" s="28">
        <f t="shared" si="1"/>
        <v>-29</v>
      </c>
      <c r="H23" s="7"/>
    </row>
    <row r="24" spans="2:8" x14ac:dyDescent="0.2">
      <c r="B24" s="5" t="s">
        <v>20</v>
      </c>
      <c r="C24" s="28">
        <v>32</v>
      </c>
      <c r="D24" s="42">
        <v>21</v>
      </c>
      <c r="E24" s="28">
        <f t="shared" si="0"/>
        <v>11</v>
      </c>
      <c r="F24" s="42">
        <v>89</v>
      </c>
      <c r="G24" s="28">
        <f t="shared" si="1"/>
        <v>-57</v>
      </c>
      <c r="H24" s="7"/>
    </row>
    <row r="25" spans="2:8" x14ac:dyDescent="0.2">
      <c r="B25" s="5" t="s">
        <v>21</v>
      </c>
      <c r="C25" s="28">
        <v>29</v>
      </c>
      <c r="D25" s="42">
        <v>14</v>
      </c>
      <c r="E25" s="28">
        <f t="shared" si="0"/>
        <v>15</v>
      </c>
      <c r="F25" s="42">
        <v>52</v>
      </c>
      <c r="G25" s="28">
        <f t="shared" si="1"/>
        <v>-23</v>
      </c>
      <c r="H25" s="7"/>
    </row>
    <row r="26" spans="2:8" x14ac:dyDescent="0.2">
      <c r="B26" s="5" t="s">
        <v>22</v>
      </c>
      <c r="C26" s="28">
        <v>43</v>
      </c>
      <c r="D26" s="42">
        <v>49</v>
      </c>
      <c r="E26" s="28">
        <f t="shared" si="0"/>
        <v>-6</v>
      </c>
      <c r="F26" s="42">
        <v>13</v>
      </c>
      <c r="G26" s="28">
        <f t="shared" si="1"/>
        <v>30</v>
      </c>
      <c r="H26" s="7"/>
    </row>
    <row r="27" spans="2:8" x14ac:dyDescent="0.2">
      <c r="B27" s="5" t="s">
        <v>23</v>
      </c>
      <c r="C27" s="28">
        <v>269</v>
      </c>
      <c r="D27" s="42">
        <v>232</v>
      </c>
      <c r="E27" s="28">
        <f t="shared" si="0"/>
        <v>37</v>
      </c>
      <c r="F27" s="42">
        <v>226</v>
      </c>
      <c r="G27" s="28">
        <f t="shared" si="1"/>
        <v>43</v>
      </c>
      <c r="H27" s="7"/>
    </row>
    <row r="28" spans="2:8" x14ac:dyDescent="0.2">
      <c r="B28" s="5" t="s">
        <v>24</v>
      </c>
      <c r="C28" s="28">
        <v>17</v>
      </c>
      <c r="D28" s="42">
        <v>27</v>
      </c>
      <c r="E28" s="28">
        <f t="shared" si="0"/>
        <v>-10</v>
      </c>
      <c r="F28" s="42">
        <v>48</v>
      </c>
      <c r="G28" s="28">
        <f t="shared" si="1"/>
        <v>-31</v>
      </c>
      <c r="H28" s="7"/>
    </row>
    <row r="29" spans="2:8" ht="15" x14ac:dyDescent="0.25">
      <c r="B29" s="39" t="s">
        <v>25</v>
      </c>
      <c r="C29" s="48">
        <f>SUM(C4:C28)</f>
        <v>1596</v>
      </c>
      <c r="D29" s="44">
        <f>SUM(D4:D28)</f>
        <v>1627</v>
      </c>
      <c r="E29" s="48">
        <f>SUM(E4:E28)</f>
        <v>-31</v>
      </c>
      <c r="F29" s="44">
        <f>SUM(F4:F28)</f>
        <v>2071</v>
      </c>
      <c r="G29" s="48">
        <f>SUM(G4:G28)</f>
        <v>-475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3" style="3" customWidth="1"/>
    <col min="5" max="5" width="12.71093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59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42.75" x14ac:dyDescent="0.2">
      <c r="B3" s="43" t="s">
        <v>42</v>
      </c>
      <c r="C3" s="36" t="str">
        <f>T('8oferty s.'!B3)</f>
        <v>powiaty</v>
      </c>
      <c r="D3" s="36" t="str">
        <f>T('8oferty s.'!C3)</f>
        <v>liczba ofert w 06-'25 r.</v>
      </c>
      <c r="E3" s="36" t="str">
        <f>T('8oferty s.'!D3)</f>
        <v>liczba ofert w 05-'25 r.</v>
      </c>
      <c r="F3" s="36" t="str">
        <f>T('8oferty s.'!E3)</f>
        <v>wzrost/spadek do poprzedniego  miesiąca</v>
      </c>
      <c r="G3" s="36" t="str">
        <f>T('8oferty s.'!F3)</f>
        <v>liczba ofert w 06-'24 r.</v>
      </c>
      <c r="H3" s="36" t="str">
        <f>T('8oferty s.'!G3)</f>
        <v>wzrost/spadek do analogicznego okresu ubr.</v>
      </c>
    </row>
    <row r="4" spans="2:8" x14ac:dyDescent="0.2">
      <c r="B4" s="6">
        <f>RANK('9of st. k.'!C4,'9of st. k.'!$C$4:'9of st. k.'!$C$29,1)+COUNTIF('9of st. k.'!$C$4:'9of st. k.'!C4,'9of st. k.'!C4)-1</f>
        <v>3</v>
      </c>
      <c r="C4" s="5" t="str">
        <f>INDEX('9of st. k.'!B4:G29,MATCH(1,B4:B29,0),1)</f>
        <v>brzozowski</v>
      </c>
      <c r="D4" s="24">
        <f>INDEX('9of st. k.'!B4:G29,MATCH(1,B4:B29,0),2)</f>
        <v>2</v>
      </c>
      <c r="E4" s="42">
        <f>INDEX('9of st. k.'!B4:G29,MATCH(1,B4:B29,0),3)</f>
        <v>2</v>
      </c>
      <c r="F4" s="6">
        <f>INDEX('9of st. k.'!B4:G29,MATCH(1,B4:B29,0),4)</f>
        <v>0</v>
      </c>
      <c r="G4" s="42">
        <f>INDEX('9of st. k.'!B4:G29,MATCH(1,B4:B29,0),5)</f>
        <v>17</v>
      </c>
      <c r="H4" s="6">
        <f>INDEX('9of st. k.'!B4:G29,MATCH(1,B4:B29,0),6)</f>
        <v>-15</v>
      </c>
    </row>
    <row r="5" spans="2:8" x14ac:dyDescent="0.2">
      <c r="B5" s="6">
        <f>RANK('9of st. k.'!C5,'9of st. k.'!$C$4:'9of st. k.'!$C$29,1)+COUNTIF('9of st. k.'!$C$4:'9of st. k.'!C5,'9of st. k.'!C5)-1</f>
        <v>1</v>
      </c>
      <c r="C5" s="5" t="str">
        <f>INDEX('9of st. k.'!B4:G29,MATCH(2,B4:B29,0),1)</f>
        <v>przemyski</v>
      </c>
      <c r="D5" s="6">
        <f>INDEX('9of st. k.'!B4:G29,MATCH(2,B4:B29,0),2)</f>
        <v>12</v>
      </c>
      <c r="E5" s="42">
        <f>INDEX('9of st. k.'!B4:G29,MATCH(2,B4:B29,0),3)</f>
        <v>6</v>
      </c>
      <c r="F5" s="6">
        <f>INDEX('9of st. k.'!B4:G29,MATCH(2,B4:B29,0),4)</f>
        <v>6</v>
      </c>
      <c r="G5" s="42">
        <f>INDEX('9of st. k.'!B4:G29,MATCH(2,B4:B29,0),5)</f>
        <v>21</v>
      </c>
      <c r="H5" s="6">
        <f>INDEX('9of st. k.'!B4:G29,MATCH(2,B4:B29,0),6)</f>
        <v>-9</v>
      </c>
    </row>
    <row r="6" spans="2:8" x14ac:dyDescent="0.2">
      <c r="B6" s="6">
        <f>RANK('9of st. k.'!C6,'9of st. k.'!$C$4:'9of st. k.'!$C$29,1)+COUNTIF('9of st. k.'!$C$4:'9of st. k.'!C6,'9of st. k.'!C6)-1</f>
        <v>22</v>
      </c>
      <c r="C6" s="5" t="str">
        <f>INDEX('9of st. k.'!B4:G29,MATCH(3,B4:B29,0),1)</f>
        <v>bieszczadzki</v>
      </c>
      <c r="D6" s="6">
        <f>INDEX('9of st. k.'!B4:G29,MATCH(3,B4:B29,0),2)</f>
        <v>17</v>
      </c>
      <c r="E6" s="42">
        <f>INDEX('9of st. k.'!B4:G29,MATCH(3,B4:B29,0),3)</f>
        <v>17</v>
      </c>
      <c r="F6" s="6">
        <f>INDEX('9of st. k.'!B4:G29,MATCH(3,B4:B29,0),4)</f>
        <v>0</v>
      </c>
      <c r="G6" s="42">
        <f>INDEX('9of st. k.'!B4:G29,MATCH(3,B4:B29,0),5)</f>
        <v>31</v>
      </c>
      <c r="H6" s="6">
        <f>INDEX('9of st. k.'!B4:G29,MATCH(3,B4:B29,0),6)</f>
        <v>-14</v>
      </c>
    </row>
    <row r="7" spans="2:8" x14ac:dyDescent="0.2">
      <c r="B7" s="6">
        <f>RANK('9of st. k.'!C7,'9of st. k.'!$C$4:'9of st. k.'!$C$29,1)+COUNTIF('9of st. k.'!$C$4:'9of st. k.'!C7,'9of st. k.'!C7)-1</f>
        <v>14</v>
      </c>
      <c r="C7" s="5" t="str">
        <f>INDEX('9of st. k.'!B4:G29,MATCH(4,B4:B29,0),1)</f>
        <v>Tarnobrzeg</v>
      </c>
      <c r="D7" s="6">
        <f>INDEX('9of st. k.'!B4:G29,MATCH(4,B4:B29,0),2)</f>
        <v>17</v>
      </c>
      <c r="E7" s="42">
        <f>INDEX('9of st. k.'!B4:G29,MATCH(4,B4:B29,0),3)</f>
        <v>27</v>
      </c>
      <c r="F7" s="6">
        <f>INDEX('9of st. k.'!B4:G29,MATCH(4,B4:B29,0),4)</f>
        <v>-10</v>
      </c>
      <c r="G7" s="42">
        <f>INDEX('9of st. k.'!B4:G29,MATCH(4,B4:B29,0),5)</f>
        <v>48</v>
      </c>
      <c r="H7" s="6">
        <f>INDEX('9of st. k.'!B4:G29,MATCH(4,B4:B29,0),6)</f>
        <v>-31</v>
      </c>
    </row>
    <row r="8" spans="2:8" x14ac:dyDescent="0.2">
      <c r="B8" s="6">
        <f>RANK('9of st. k.'!C8,'9of st. k.'!$C$4:'9of st. k.'!$C$29,1)+COUNTIF('9of st. k.'!$C$4:'9of st. k.'!C8,'9of st. k.'!C8)-1</f>
        <v>23</v>
      </c>
      <c r="C8" s="5" t="str">
        <f>INDEX('9of st. k.'!B4:G29,MATCH(5,B4:B29,0),1)</f>
        <v>strzyżowski</v>
      </c>
      <c r="D8" s="6">
        <f>INDEX('9of st. k.'!B4:G29,MATCH(5,B4:B29,0),2)</f>
        <v>19</v>
      </c>
      <c r="E8" s="42">
        <f>INDEX('9of st. k.'!B4:G29,MATCH(5,B4:B29,0),3)</f>
        <v>47</v>
      </c>
      <c r="F8" s="6">
        <f>INDEX('9of st. k.'!B4:G29,MATCH(5,B4:B29,0),4)</f>
        <v>-28</v>
      </c>
      <c r="G8" s="42">
        <f>INDEX('9of st. k.'!B4:G29,MATCH(5,B4:B29,0),5)</f>
        <v>48</v>
      </c>
      <c r="H8" s="6">
        <f>INDEX('9of st. k.'!B4:G29,MATCH(5,B4:B29,0),6)</f>
        <v>-29</v>
      </c>
    </row>
    <row r="9" spans="2:8" x14ac:dyDescent="0.2">
      <c r="B9" s="6">
        <f>RANK('9of st. k.'!C9,'9of st. k.'!$C$4:'9of st. k.'!$C$29,1)+COUNTIF('9of st. k.'!$C$4:'9of st. k.'!C9,'9of st. k.'!C9)-1</f>
        <v>13</v>
      </c>
      <c r="C9" s="5" t="str">
        <f>INDEX('9of st. k.'!B4:G29,MATCH(6,B4:B29,0),1)</f>
        <v>sanocki</v>
      </c>
      <c r="D9" s="6">
        <f>INDEX('9of st. k.'!B4:G29,MATCH(6,B4:B29,0),2)</f>
        <v>22</v>
      </c>
      <c r="E9" s="42">
        <f>INDEX('9of st. k.'!B4:G29,MATCH(6,B4:B29,0),3)</f>
        <v>18</v>
      </c>
      <c r="F9" s="6">
        <f>INDEX('9of st. k.'!B4:G29,MATCH(6,B4:B29,0),4)</f>
        <v>4</v>
      </c>
      <c r="G9" s="42">
        <f>INDEX('9of st. k.'!B4:G29,MATCH(6,B4:B29,0),5)</f>
        <v>24</v>
      </c>
      <c r="H9" s="6">
        <f>INDEX('9of st. k.'!B4:G29,MATCH(6,B4:B29,0),6)</f>
        <v>-2</v>
      </c>
    </row>
    <row r="10" spans="2:8" x14ac:dyDescent="0.2">
      <c r="B10" s="6">
        <f>RANK('9of st. k.'!C10,'9of st. k.'!$C$4:'9of st. k.'!$C$29,1)+COUNTIF('9of st. k.'!$C$4:'9of st. k.'!C10,'9of st. k.'!C10)-1</f>
        <v>8</v>
      </c>
      <c r="C10" s="9" t="str">
        <f>INDEX('9of st. k.'!B4:G29,MATCH(7,B4:B29,0),1)</f>
        <v>leski</v>
      </c>
      <c r="D10" s="6">
        <f>INDEX('9of st. k.'!B4:G29,MATCH(7,B4:B29,0),2)</f>
        <v>25</v>
      </c>
      <c r="E10" s="42">
        <f>INDEX('9of st. k.'!B4:G29,MATCH(7,B4:B29,0),3)</f>
        <v>54</v>
      </c>
      <c r="F10" s="6">
        <f>INDEX('9of st. k.'!B4:G29,MATCH(7,B4:B29,0),4)</f>
        <v>-29</v>
      </c>
      <c r="G10" s="42">
        <f>INDEX('9of st. k.'!B4:G29,MATCH(7,B4:B29,0),5)</f>
        <v>37</v>
      </c>
      <c r="H10" s="6">
        <f>INDEX('9of st. k.'!B4:G29,MATCH(7,B4:B29,0),6)</f>
        <v>-12</v>
      </c>
    </row>
    <row r="11" spans="2:8" x14ac:dyDescent="0.2">
      <c r="B11" s="6">
        <f>RANK('9of st. k.'!C11,'9of st. k.'!$C$4:'9of st. k.'!$C$29,1)+COUNTIF('9of st. k.'!$C$4:'9of st. k.'!C11,'9of st. k.'!C11)-1</f>
        <v>7</v>
      </c>
      <c r="C11" s="5" t="str">
        <f>INDEX('9of st. k.'!B4:G29,MATCH(8,B4:B29,0),1)</f>
        <v>krośnieński</v>
      </c>
      <c r="D11" s="6">
        <f>INDEX('9of st. k.'!B4:G29,MATCH(8,B4:B29,0),2)</f>
        <v>26</v>
      </c>
      <c r="E11" s="42">
        <f>INDEX('9of st. k.'!B4:G29,MATCH(8,B4:B29,0),3)</f>
        <v>21</v>
      </c>
      <c r="F11" s="6">
        <f>INDEX('9of st. k.'!B4:G29,MATCH(8,B4:B29,0),4)</f>
        <v>5</v>
      </c>
      <c r="G11" s="42">
        <f>INDEX('9of st. k.'!B4:G29,MATCH(8,B4:B29,0),5)</f>
        <v>105</v>
      </c>
      <c r="H11" s="6">
        <f>INDEX('9of st. k.'!B4:G29,MATCH(8,B4:B29,0),6)</f>
        <v>-79</v>
      </c>
    </row>
    <row r="12" spans="2:8" x14ac:dyDescent="0.2">
      <c r="B12" s="6">
        <f>RANK('9of st. k.'!C12,'9of st. k.'!$C$4:'9of st. k.'!$C$29,1)+COUNTIF('9of st. k.'!$C$4:'9of st. k.'!C12,'9of st. k.'!C12)-1</f>
        <v>9</v>
      </c>
      <c r="C12" s="5" t="str">
        <f>INDEX('9of st. k.'!B4:G29,MATCH(9,B4:B29,0),1)</f>
        <v>leżajski</v>
      </c>
      <c r="D12" s="6">
        <f>INDEX('9of st. k.'!B4:G29,MATCH(9,B4:B29,0),2)</f>
        <v>27</v>
      </c>
      <c r="E12" s="42">
        <f>INDEX('9of st. k.'!B4:G29,MATCH(9,B4:B29,0),3)</f>
        <v>25</v>
      </c>
      <c r="F12" s="6">
        <f>INDEX('9of st. k.'!B4:G29,MATCH(9,B4:B29,0),4)</f>
        <v>2</v>
      </c>
      <c r="G12" s="42">
        <f>INDEX('9of st. k.'!B4:G29,MATCH(9,B4:B29,0),5)</f>
        <v>48</v>
      </c>
      <c r="H12" s="6">
        <f>INDEX('9of st. k.'!B4:G29,MATCH(9,B4:B29,0),6)</f>
        <v>-21</v>
      </c>
    </row>
    <row r="13" spans="2:8" x14ac:dyDescent="0.2">
      <c r="B13" s="6">
        <f>RANK('9of st. k.'!C13,'9of st. k.'!$C$4:'9of st. k.'!$C$29,1)+COUNTIF('9of st. k.'!$C$4:'9of st. k.'!C13,'9of st. k.'!C13)-1</f>
        <v>17</v>
      </c>
      <c r="C13" s="5" t="str">
        <f>INDEX('9of st. k.'!B4:G29,MATCH(10,B4:B29,0),1)</f>
        <v>Krosno</v>
      </c>
      <c r="D13" s="6">
        <f>INDEX('9of st. k.'!B4:G29,MATCH(10,B4:B29,0),2)</f>
        <v>29</v>
      </c>
      <c r="E13" s="42">
        <f>INDEX('9of st. k.'!B4:G29,MATCH(10,B4:B29,0),3)</f>
        <v>14</v>
      </c>
      <c r="F13" s="6">
        <f>INDEX('9of st. k.'!B4:G29,MATCH(10,B4:B29,0),4)</f>
        <v>15</v>
      </c>
      <c r="G13" s="42">
        <f>INDEX('9of st. k.'!B4:G29,MATCH(10,B4:B29,0),5)</f>
        <v>52</v>
      </c>
      <c r="H13" s="6">
        <f>INDEX('9of st. k.'!B4:G29,MATCH(10,B4:B29,0),6)</f>
        <v>-23</v>
      </c>
    </row>
    <row r="14" spans="2:8" x14ac:dyDescent="0.2">
      <c r="B14" s="6">
        <f>RANK('9of st. k.'!C14,'9of st. k.'!$C$4:'9of st. k.'!$C$29,1)+COUNTIF('9of st. k.'!$C$4:'9of st. k.'!C14,'9of st. k.'!C14)-1</f>
        <v>12</v>
      </c>
      <c r="C14" s="5" t="str">
        <f>INDEX('9of st. k.'!B4:G29,MATCH(11,B4:B29,0),1)</f>
        <v xml:space="preserve">tarnobrzeski </v>
      </c>
      <c r="D14" s="6">
        <f>INDEX('9of st. k.'!B4:G29,MATCH(11,B4:B29,0),2)</f>
        <v>32</v>
      </c>
      <c r="E14" s="42">
        <f>INDEX('9of st. k.'!B4:G29,MATCH(11,B4:B29,0),3)</f>
        <v>21</v>
      </c>
      <c r="F14" s="6">
        <f>INDEX('9of st. k.'!B4:G29,MATCH(11,B4:B29,0),4)</f>
        <v>11</v>
      </c>
      <c r="G14" s="42">
        <f>INDEX('9of st. k.'!B4:G29,MATCH(11,B4:B29,0),5)</f>
        <v>89</v>
      </c>
      <c r="H14" s="6">
        <f>INDEX('9of st. k.'!B4:G29,MATCH(11,B4:B29,0),6)</f>
        <v>-57</v>
      </c>
    </row>
    <row r="15" spans="2:8" x14ac:dyDescent="0.2">
      <c r="B15" s="6">
        <f>RANK('9of st. k.'!C15,'9of st. k.'!$C$4:'9of st. k.'!$C$29,1)+COUNTIF('9of st. k.'!$C$4:'9of st. k.'!C15,'9of st. k.'!C15)-1</f>
        <v>25</v>
      </c>
      <c r="C15" s="5" t="str">
        <f>INDEX('9of st. k.'!B4:G29,MATCH(12,B4:B29,0),1)</f>
        <v>łańcucki</v>
      </c>
      <c r="D15" s="6">
        <f>INDEX('9of st. k.'!B4:G29,MATCH(12,B4:B29,0),2)</f>
        <v>34</v>
      </c>
      <c r="E15" s="42">
        <f>INDEX('9of st. k.'!B4:G29,MATCH(12,B4:B29,0),3)</f>
        <v>22</v>
      </c>
      <c r="F15" s="6">
        <f>INDEX('9of st. k.'!B4:G29,MATCH(12,B4:B29,0),4)</f>
        <v>12</v>
      </c>
      <c r="G15" s="42">
        <f>INDEX('9of st. k.'!B4:G29,MATCH(12,B4:B29,0),5)</f>
        <v>34</v>
      </c>
      <c r="H15" s="6">
        <f>INDEX('9of st. k.'!B4:G29,MATCH(12,B4:B29,0),6)</f>
        <v>0</v>
      </c>
    </row>
    <row r="16" spans="2:8" x14ac:dyDescent="0.2">
      <c r="B16" s="6">
        <f>RANK('9of st. k.'!C16,'9of st. k.'!$C$4:'9of st. k.'!$C$29,1)+COUNTIF('9of st. k.'!$C$4:'9of st. k.'!C16,'9of st. k.'!C16)-1</f>
        <v>15</v>
      </c>
      <c r="C16" s="5" t="str">
        <f>INDEX('9of st. k.'!B4:G29,MATCH(13,B4:B29,0),1)</f>
        <v>kolbuszowski</v>
      </c>
      <c r="D16" s="6">
        <f>INDEX('9of st. k.'!B4:G29,MATCH(13,B4:B29,0),2)</f>
        <v>37</v>
      </c>
      <c r="E16" s="42">
        <f>INDEX('9of st. k.'!B4:G29,MATCH(13,B4:B29,0),3)</f>
        <v>31</v>
      </c>
      <c r="F16" s="6">
        <f>INDEX('9of st. k.'!B4:G29,MATCH(13,B4:B29,0),4)</f>
        <v>6</v>
      </c>
      <c r="G16" s="42">
        <f>INDEX('9of st. k.'!B4:G29,MATCH(13,B4:B29,0),5)</f>
        <v>63</v>
      </c>
      <c r="H16" s="6">
        <f>INDEX('9of st. k.'!B4:G29,MATCH(13,B4:B29,0),6)</f>
        <v>-26</v>
      </c>
    </row>
    <row r="17" spans="2:8" x14ac:dyDescent="0.2">
      <c r="B17" s="6">
        <f>RANK('9of st. k.'!C17,'9of st. k.'!$C$4:'9of st. k.'!$C$29,1)+COUNTIF('9of st. k.'!$C$4:'9of st. k.'!C17,'9of st. k.'!C17)-1</f>
        <v>2</v>
      </c>
      <c r="C17" s="5" t="str">
        <f>INDEX('9of st. k.'!B4:G29,MATCH(14,B4:B29,0),1)</f>
        <v>jarosławski</v>
      </c>
      <c r="D17" s="6">
        <f>INDEX('9of st. k.'!B4:G29,MATCH(14,B4:B29,0),2)</f>
        <v>39</v>
      </c>
      <c r="E17" s="42">
        <f>INDEX('9of st. k.'!B4:G29,MATCH(14,B4:B29,0),3)</f>
        <v>19</v>
      </c>
      <c r="F17" s="6">
        <f>INDEX('9of st. k.'!B4:G29,MATCH(14,B4:B29,0),4)</f>
        <v>20</v>
      </c>
      <c r="G17" s="42">
        <f>INDEX('9of st. k.'!B4:G29,MATCH(14,B4:B29,0),5)</f>
        <v>102</v>
      </c>
      <c r="H17" s="6">
        <f>INDEX('9of st. k.'!B4:G29,MATCH(14,B4:B29,0),6)</f>
        <v>-63</v>
      </c>
    </row>
    <row r="18" spans="2:8" x14ac:dyDescent="0.2">
      <c r="B18" s="6">
        <f>RANK('9of st. k.'!C18,'9of st. k.'!$C$4:'9of st. k.'!$C$29,1)+COUNTIF('9of st. k.'!$C$4:'9of st. k.'!C18,'9of st. k.'!C18)-1</f>
        <v>21</v>
      </c>
      <c r="C18" s="5" t="str">
        <f>INDEX('9of st. k.'!B4:G29,MATCH(15,B4:B29,0),1)</f>
        <v>niżański</v>
      </c>
      <c r="D18" s="6">
        <f>INDEX('9of st. k.'!B4:G29,MATCH(15,B4:B29,0),2)</f>
        <v>43</v>
      </c>
      <c r="E18" s="42">
        <f>INDEX('9of st. k.'!B4:G29,MATCH(15,B4:B29,0),3)</f>
        <v>75</v>
      </c>
      <c r="F18" s="6">
        <f>INDEX('9of st. k.'!B4:G29,MATCH(15,B4:B29,0),4)</f>
        <v>-32</v>
      </c>
      <c r="G18" s="42">
        <f>INDEX('9of st. k.'!B4:G29,MATCH(15,B4:B29,0),5)</f>
        <v>93</v>
      </c>
      <c r="H18" s="6">
        <f>INDEX('9of st. k.'!B4:G29,MATCH(15,B4:B29,0),6)</f>
        <v>-50</v>
      </c>
    </row>
    <row r="19" spans="2:8" x14ac:dyDescent="0.2">
      <c r="B19" s="6">
        <f>RANK('9of st. k.'!C19,'9of st. k.'!$C$4:'9of st. k.'!$C$29,1)+COUNTIF('9of st. k.'!$C$4:'9of st. k.'!C19,'9of st. k.'!C19)-1</f>
        <v>18</v>
      </c>
      <c r="C19" s="5" t="str">
        <f>INDEX('9of st. k.'!B4:G29,MATCH(16,B4:B29,0),1)</f>
        <v>Przemyśl</v>
      </c>
      <c r="D19" s="6">
        <f>INDEX('9of st. k.'!B4:G29,MATCH(16,B4:B29,0),2)</f>
        <v>43</v>
      </c>
      <c r="E19" s="42">
        <f>INDEX('9of st. k.'!B4:G29,MATCH(16,B4:B29,0),3)</f>
        <v>49</v>
      </c>
      <c r="F19" s="6">
        <f>INDEX('9of st. k.'!B4:G29,MATCH(16,B4:B29,0),4)</f>
        <v>-6</v>
      </c>
      <c r="G19" s="42">
        <f>INDEX('9of st. k.'!B4:G29,MATCH(16,B4:B29,0),5)</f>
        <v>13</v>
      </c>
      <c r="H19" s="6">
        <f>INDEX('9of st. k.'!B4:G29,MATCH(16,B4:B29,0),6)</f>
        <v>30</v>
      </c>
    </row>
    <row r="20" spans="2:8" x14ac:dyDescent="0.2">
      <c r="B20" s="6">
        <f>RANK('9of st. k.'!C20,'9of st. k.'!$C$4:'9of st. k.'!$C$29,1)+COUNTIF('9of st. k.'!$C$4:'9of st. k.'!C20,'9of st. k.'!C20)-1</f>
        <v>20</v>
      </c>
      <c r="C20" s="5" t="str">
        <f>INDEX('9of st. k.'!B4:G29,MATCH(17,B4:B29,0),1)</f>
        <v>lubaczowski</v>
      </c>
      <c r="D20" s="6">
        <f>INDEX('9of st. k.'!B4:G29,MATCH(17,B4:B29,0),2)</f>
        <v>54</v>
      </c>
      <c r="E20" s="42">
        <f>INDEX('9of st. k.'!B4:G29,MATCH(17,B4:B29,0),3)</f>
        <v>50</v>
      </c>
      <c r="F20" s="6">
        <f>INDEX('9of st. k.'!B4:G29,MATCH(17,B4:B29,0),4)</f>
        <v>4</v>
      </c>
      <c r="G20" s="42">
        <f>INDEX('9of st. k.'!B4:G29,MATCH(17,B4:B29,0),5)</f>
        <v>47</v>
      </c>
      <c r="H20" s="6">
        <f>INDEX('9of st. k.'!B4:G29,MATCH(17,B4:B29,0),6)</f>
        <v>7</v>
      </c>
    </row>
    <row r="21" spans="2:8" x14ac:dyDescent="0.2">
      <c r="B21" s="6">
        <f>RANK('9of st. k.'!C21,'9of st. k.'!$C$4:'9of st. k.'!$C$29,1)+COUNTIF('9of st. k.'!$C$4:'9of st. k.'!C21,'9of st. k.'!C21)-1</f>
        <v>6</v>
      </c>
      <c r="C21" s="5" t="str">
        <f>INDEX('9of st. k.'!B4:G29,MATCH(18,B4:B29,0),1)</f>
        <v>ropczycko-sędziszowski</v>
      </c>
      <c r="D21" s="6">
        <f>INDEX('9of st. k.'!B4:G29,MATCH(18,B4:B29,0),2)</f>
        <v>69</v>
      </c>
      <c r="E21" s="42">
        <f>INDEX('9of st. k.'!B4:G29,MATCH(18,B4:B29,0),3)</f>
        <v>54</v>
      </c>
      <c r="F21" s="6">
        <f>INDEX('9of st. k.'!B4:G29,MATCH(18,B4:B29,0),4)</f>
        <v>15</v>
      </c>
      <c r="G21" s="42">
        <f>INDEX('9of st. k.'!B4:G29,MATCH(18,B4:B29,0),5)</f>
        <v>61</v>
      </c>
      <c r="H21" s="6">
        <f>INDEX('9of st. k.'!B4:G29,MATCH(18,B4:B29,0),6)</f>
        <v>8</v>
      </c>
    </row>
    <row r="22" spans="2:8" x14ac:dyDescent="0.2">
      <c r="B22" s="6">
        <f>RANK('9of st. k.'!C22,'9of st. k.'!$C$4:'9of st. k.'!$C$29,1)+COUNTIF('9of st. k.'!$C$4:'9of st. k.'!C22,'9of st. k.'!C22)-1</f>
        <v>19</v>
      </c>
      <c r="C22" s="5" t="str">
        <f>INDEX('9of st. k.'!B4:G29,MATCH(19,B4:B29,0),1)</f>
        <v>stalowowolski</v>
      </c>
      <c r="D22" s="6">
        <f>INDEX('9of st. k.'!B4:G29,MATCH(19,B4:B29,0),2)</f>
        <v>72</v>
      </c>
      <c r="E22" s="42">
        <f>INDEX('9of st. k.'!B4:G29,MATCH(19,B4:B29,0),3)</f>
        <v>47</v>
      </c>
      <c r="F22" s="6">
        <f>INDEX('9of st. k.'!B4:G29,MATCH(19,B4:B29,0),4)</f>
        <v>25</v>
      </c>
      <c r="G22" s="42">
        <f>INDEX('9of st. k.'!B4:G29,MATCH(19,B4:B29,0),5)</f>
        <v>92</v>
      </c>
      <c r="H22" s="6">
        <f>INDEX('9of st. k.'!B4:G29,MATCH(19,B4:B29,0),6)</f>
        <v>-20</v>
      </c>
    </row>
    <row r="23" spans="2:8" x14ac:dyDescent="0.2">
      <c r="B23" s="6">
        <f>RANK('9of st. k.'!C23,'9of st. k.'!$C$4:'9of st. k.'!$C$29,1)+COUNTIF('9of st. k.'!$C$4:'9of st. k.'!C23,'9of st. k.'!C23)-1</f>
        <v>5</v>
      </c>
      <c r="C23" s="5" t="str">
        <f>INDEX('9of st. k.'!B4:G29,MATCH(20,B4:B29,0),1)</f>
        <v>rzeszowski</v>
      </c>
      <c r="D23" s="6">
        <f>INDEX('9of st. k.'!B4:G29,MATCH(20,B4:B29,0),2)</f>
        <v>74</v>
      </c>
      <c r="E23" s="42">
        <f>INDEX('9of st. k.'!B4:G29,MATCH(20,B4:B29,0),3)</f>
        <v>80</v>
      </c>
      <c r="F23" s="6">
        <f>INDEX('9of st. k.'!B4:G29,MATCH(20,B4:B29,0),4)</f>
        <v>-6</v>
      </c>
      <c r="G23" s="42">
        <f>INDEX('9of st. k.'!B4:G29,MATCH(20,B4:B29,0),5)</f>
        <v>64</v>
      </c>
      <c r="H23" s="6">
        <f>INDEX('9of st. k.'!B4:G29,MATCH(20,B4:B29,0),6)</f>
        <v>10</v>
      </c>
    </row>
    <row r="24" spans="2:8" x14ac:dyDescent="0.2">
      <c r="B24" s="6">
        <f>RANK('9of st. k.'!C24,'9of st. k.'!$C$4:'9of st. k.'!$C$29,1)+COUNTIF('9of st. k.'!$C$4:'9of st. k.'!C24,'9of st. k.'!C24)-1</f>
        <v>11</v>
      </c>
      <c r="C24" s="5" t="str">
        <f>INDEX('9of st. k.'!B4:G29,MATCH(21,B4:B29,0),1)</f>
        <v>przeworski</v>
      </c>
      <c r="D24" s="6">
        <f>INDEX('9of st. k.'!B4:G29,MATCH(21,B4:B29,0),2)</f>
        <v>79</v>
      </c>
      <c r="E24" s="42">
        <f>INDEX('9of st. k.'!B4:G29,MATCH(21,B4:B29,0),3)</f>
        <v>172</v>
      </c>
      <c r="F24" s="6">
        <f>INDEX('9of st. k.'!B4:G29,MATCH(21,B4:B29,0),4)</f>
        <v>-93</v>
      </c>
      <c r="G24" s="42">
        <f>INDEX('9of st. k.'!B4:G29,MATCH(21,B4:B29,0),5)</f>
        <v>147</v>
      </c>
      <c r="H24" s="6">
        <f>INDEX('9of st. k.'!B4:G29,MATCH(21,B4:B29,0),6)</f>
        <v>-68</v>
      </c>
    </row>
    <row r="25" spans="2:8" x14ac:dyDescent="0.2">
      <c r="B25" s="6">
        <f>RANK('9of st. k.'!C25,'9of st. k.'!$C$4:'9of st. k.'!$C$29,1)+COUNTIF('9of st. k.'!$C$4:'9of st. k.'!C25,'9of st. k.'!C25)-1</f>
        <v>10</v>
      </c>
      <c r="C25" s="5" t="str">
        <f>INDEX('9of st. k.'!B4:G29,MATCH(22,B4:B29,0),1)</f>
        <v>dębicki</v>
      </c>
      <c r="D25" s="6">
        <f>INDEX('9of st. k.'!B4:G29,MATCH(22,B4:B29,0),2)</f>
        <v>128</v>
      </c>
      <c r="E25" s="42">
        <f>INDEX('9of st. k.'!B4:G29,MATCH(22,B4:B29,0),3)</f>
        <v>166</v>
      </c>
      <c r="F25" s="6">
        <f>INDEX('9of st. k.'!B4:G29,MATCH(22,B4:B29,0),4)</f>
        <v>-38</v>
      </c>
      <c r="G25" s="42">
        <f>INDEX('9of st. k.'!B4:G29,MATCH(22,B4:B29,0),5)</f>
        <v>164</v>
      </c>
      <c r="H25" s="6">
        <f>INDEX('9of st. k.'!B4:G29,MATCH(22,B4:B29,0),6)</f>
        <v>-36</v>
      </c>
    </row>
    <row r="26" spans="2:8" x14ac:dyDescent="0.2">
      <c r="B26" s="6">
        <f>RANK('9of st. k.'!C26,'9of st. k.'!$C$4:'9of st. k.'!$C$29,1)+COUNTIF('9of st. k.'!$C$4:'9of st. k.'!C26,'9of st. k.'!C26)-1</f>
        <v>16</v>
      </c>
      <c r="C26" s="5" t="str">
        <f>INDEX('9of st. k.'!B4:G29,MATCH(23,B4:B29,0),1)</f>
        <v>jasielski</v>
      </c>
      <c r="D26" s="6">
        <f>INDEX('9of st. k.'!B4:G29,MATCH(23,B4:B29,0),2)</f>
        <v>133</v>
      </c>
      <c r="E26" s="42">
        <f>INDEX('9of st. k.'!B4:G29,MATCH(23,B4:B29,0),3)</f>
        <v>116</v>
      </c>
      <c r="F26" s="6">
        <f>INDEX('9of st. k.'!B4:G29,MATCH(23,B4:B29,0),4)</f>
        <v>17</v>
      </c>
      <c r="G26" s="42">
        <f>INDEX('9of st. k.'!B4:G29,MATCH(23,B4:B29,0),5)</f>
        <v>48</v>
      </c>
      <c r="H26" s="6">
        <f>INDEX('9of st. k.'!B4:G29,MATCH(23,B4:B29,0),6)</f>
        <v>85</v>
      </c>
    </row>
    <row r="27" spans="2:8" x14ac:dyDescent="0.2">
      <c r="B27" s="6">
        <f>RANK('9of st. k.'!C27,'9of st. k.'!$C$4:'9of st. k.'!$C$29,1)+COUNTIF('9of st. k.'!$C$4:'9of st. k.'!C27,'9of st. k.'!C27)-1</f>
        <v>24</v>
      </c>
      <c r="C27" s="5" t="str">
        <f>INDEX('9of st. k.'!B4:G29,MATCH(24,B4:B29,0),1)</f>
        <v>Rzeszów</v>
      </c>
      <c r="D27" s="6">
        <f>INDEX('9of st. k.'!B4:G29,MATCH(24,B4:B29,0),2)</f>
        <v>269</v>
      </c>
      <c r="E27" s="42">
        <f>INDEX('9of st. k.'!B4:G29,MATCH(24,B4:B29,0),3)</f>
        <v>232</v>
      </c>
      <c r="F27" s="6">
        <f>INDEX('9of st. k.'!B4:G29,MATCH(24,B4:B29,0),4)</f>
        <v>37</v>
      </c>
      <c r="G27" s="42">
        <f>INDEX('9of st. k.'!B4:G29,MATCH(24,B4:B29,0),5)</f>
        <v>226</v>
      </c>
      <c r="H27" s="6">
        <f>INDEX('9of st. k.'!B4:G29,MATCH(24,B4:B29,0),6)</f>
        <v>43</v>
      </c>
    </row>
    <row r="28" spans="2:8" x14ac:dyDescent="0.2">
      <c r="B28" s="6">
        <f>RANK('9of st. k.'!C28,'9of st. k.'!$C$4:'9of st. k.'!$C$29,1)+COUNTIF('9of st. k.'!$C$4:'9of st. k.'!C28,'9of st. k.'!C28)-1</f>
        <v>4</v>
      </c>
      <c r="C28" s="5" t="str">
        <f>INDEX('9of st. k.'!B4:G29,MATCH(25,B4:B29,0),1)</f>
        <v>mielecki</v>
      </c>
      <c r="D28" s="6">
        <f>INDEX('9of st. k.'!B4:G29,MATCH(25,B4:B29,0),2)</f>
        <v>294</v>
      </c>
      <c r="E28" s="42">
        <f>INDEX('9of st. k.'!B4:G29,MATCH(25,B4:B29,0),3)</f>
        <v>262</v>
      </c>
      <c r="F28" s="6">
        <f>INDEX('9of st. k.'!B4:G29,MATCH(25,B4:B29,0),4)</f>
        <v>32</v>
      </c>
      <c r="G28" s="42">
        <f>INDEX('9of st. k.'!B4:G29,MATCH(25,B4:B29,0),5)</f>
        <v>397</v>
      </c>
      <c r="H28" s="6">
        <f>INDEX('9of st. k.'!B4:G29,MATCH(25,B4:B29,0),6)</f>
        <v>-103</v>
      </c>
    </row>
    <row r="29" spans="2:8" ht="15" x14ac:dyDescent="0.25">
      <c r="B29" s="40">
        <f>RANK('9of st. k.'!C29,'9of st. k.'!$C$4:'9of st. k.'!$C$29,1)+COUNTIF('9of st. k.'!$C$4:'9of st. k.'!C29,'9of st. k.'!C29)-1</f>
        <v>26</v>
      </c>
      <c r="C29" s="39" t="str">
        <f>INDEX('9of st. k.'!B4:G29,MATCH(26,B4:B29,0),1)</f>
        <v>województwo</v>
      </c>
      <c r="D29" s="40">
        <f>INDEX('9of st. k.'!B4:G29,MATCH(26,B4:B29,0),2)</f>
        <v>1596</v>
      </c>
      <c r="E29" s="44">
        <f>INDEX('9of st. k.'!B4:G29,MATCH(26,B4:B29,0),3)</f>
        <v>1627</v>
      </c>
      <c r="F29" s="40">
        <f>INDEX('9of st. k.'!B4:G29,MATCH(26,B4:B29,0),4)</f>
        <v>-31</v>
      </c>
      <c r="G29" s="44">
        <f>INDEX('9of st. k.'!B4:G29,MATCH(26,B4:B29,0),5)</f>
        <v>2071</v>
      </c>
      <c r="H29" s="40">
        <f>INDEX('9of st. k.'!B4:G29,MATCH(26,B4:B29,0),6)</f>
        <v>-475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2"/>
  <sheetViews>
    <sheetView zoomScaleNormal="100" workbookViewId="0">
      <selection activeCell="B1" sqref="B1"/>
    </sheetView>
  </sheetViews>
  <sheetFormatPr defaultRowHeight="11.25" x14ac:dyDescent="0.2"/>
  <cols>
    <col min="1" max="1" width="2" style="51" customWidth="1"/>
    <col min="2" max="2" width="3.140625" style="51" customWidth="1"/>
    <col min="3" max="3" width="20.140625" style="51" customWidth="1"/>
    <col min="4" max="5" width="7.140625" style="51" customWidth="1"/>
    <col min="6" max="6" width="6.28515625" style="51" customWidth="1"/>
    <col min="7" max="7" width="1.5703125" style="51" customWidth="1"/>
    <col min="8" max="8" width="7.85546875" style="51" customWidth="1"/>
    <col min="9" max="9" width="7.7109375" style="51" customWidth="1"/>
    <col min="10" max="10" width="6.7109375" style="51" customWidth="1"/>
    <col min="11" max="11" width="1.5703125" style="51" customWidth="1"/>
    <col min="12" max="12" width="7.140625" style="51" customWidth="1"/>
    <col min="13" max="13" width="7" style="51" customWidth="1"/>
    <col min="14" max="14" width="6.5703125" style="51" customWidth="1"/>
    <col min="15" max="15" width="1.85546875" style="51" customWidth="1"/>
    <col min="16" max="16" width="5.85546875" style="51" customWidth="1"/>
    <col min="17" max="17" width="2" style="51" customWidth="1"/>
    <col min="18" max="18" width="7.42578125" style="51" customWidth="1"/>
    <col min="19" max="19" width="7.140625" style="51" customWidth="1"/>
    <col min="20" max="20" width="6.42578125" style="51" customWidth="1"/>
    <col min="21" max="21" width="2.140625" style="51" customWidth="1"/>
    <col min="22" max="22" width="6.42578125" style="51" customWidth="1"/>
    <col min="23" max="23" width="6.5703125" style="51" customWidth="1"/>
    <col min="24" max="24" width="6.7109375" style="51" customWidth="1"/>
    <col min="25" max="25" width="1.85546875" style="51" customWidth="1"/>
    <col min="26" max="26" width="6.7109375" style="51" customWidth="1"/>
    <col min="27" max="27" width="2" style="51" customWidth="1"/>
    <col min="28" max="28" width="4.7109375" style="71" customWidth="1"/>
    <col min="29" max="29" width="18.42578125" style="51" customWidth="1"/>
    <col min="30" max="30" width="10.28515625" style="51" customWidth="1"/>
    <col min="31" max="31" width="1.7109375" style="51" customWidth="1"/>
    <col min="32" max="32" width="5" style="51" customWidth="1"/>
    <col min="33" max="33" width="18.28515625" style="51" customWidth="1"/>
    <col min="34" max="34" width="10.85546875" style="51" customWidth="1"/>
    <col min="35" max="35" width="1.5703125" style="51" customWidth="1"/>
    <col min="36" max="16384" width="9.140625" style="51"/>
  </cols>
  <sheetData>
    <row r="1" spans="2:35" ht="11.25" customHeight="1" x14ac:dyDescent="0.2">
      <c r="C1" s="99" t="s">
        <v>56</v>
      </c>
      <c r="D1" s="98"/>
      <c r="E1" s="98"/>
      <c r="F1" s="98"/>
      <c r="G1" s="34"/>
      <c r="H1" s="34"/>
      <c r="I1" s="34"/>
      <c r="J1" s="34"/>
      <c r="K1" s="34"/>
      <c r="L1" s="34"/>
      <c r="M1" s="34"/>
      <c r="N1" s="34"/>
      <c r="O1" s="34"/>
      <c r="Q1" s="50"/>
      <c r="S1" s="34"/>
      <c r="U1" s="50"/>
      <c r="X1" s="34"/>
      <c r="Y1" s="34"/>
      <c r="Z1" s="34"/>
      <c r="AA1" s="50"/>
    </row>
    <row r="2" spans="2:35" ht="13.5" customHeight="1" x14ac:dyDescent="0.2">
      <c r="C2" s="136" t="s">
        <v>52</v>
      </c>
      <c r="D2" s="95"/>
      <c r="E2" s="95"/>
      <c r="F2" s="95"/>
      <c r="G2" s="96"/>
      <c r="H2" s="136" t="s">
        <v>53</v>
      </c>
      <c r="I2" s="96"/>
      <c r="J2" s="96"/>
      <c r="K2" s="96"/>
      <c r="L2" s="136" t="s">
        <v>54</v>
      </c>
      <c r="M2" s="96"/>
      <c r="N2" s="96"/>
      <c r="O2" s="96"/>
      <c r="P2" s="50"/>
      <c r="Q2" s="79"/>
      <c r="R2" s="137" t="s">
        <v>63</v>
      </c>
      <c r="S2" s="96"/>
      <c r="T2" s="50"/>
      <c r="U2" s="79"/>
      <c r="V2" s="137" t="s">
        <v>63</v>
      </c>
      <c r="W2" s="50"/>
      <c r="X2" s="96"/>
      <c r="Y2" s="96"/>
      <c r="Z2" s="96"/>
      <c r="AA2" s="79"/>
      <c r="AB2" s="97"/>
      <c r="AC2" s="80"/>
      <c r="AD2" s="80"/>
      <c r="AE2" s="80"/>
      <c r="AF2" s="80"/>
      <c r="AG2" s="80"/>
      <c r="AH2" s="80"/>
      <c r="AI2" s="80"/>
    </row>
    <row r="3" spans="2:35" ht="13.5" customHeight="1" x14ac:dyDescent="0.2">
      <c r="C3" s="136"/>
      <c r="D3" s="95"/>
      <c r="E3" s="95"/>
      <c r="F3" s="95"/>
      <c r="G3" s="96"/>
      <c r="H3" s="136"/>
      <c r="I3" s="96"/>
      <c r="J3" s="96"/>
      <c r="K3" s="96"/>
      <c r="L3" s="136"/>
      <c r="M3" s="96"/>
      <c r="N3" s="96"/>
      <c r="O3" s="96"/>
      <c r="P3" s="50"/>
      <c r="Q3" s="79"/>
      <c r="R3" s="137"/>
      <c r="S3" s="96"/>
      <c r="T3" s="50"/>
      <c r="U3" s="79"/>
      <c r="V3" s="137"/>
      <c r="W3" s="50"/>
      <c r="X3" s="96"/>
      <c r="Y3" s="96"/>
      <c r="Z3" s="96"/>
      <c r="AA3" s="79"/>
      <c r="AB3" s="97"/>
      <c r="AC3" s="80"/>
      <c r="AD3" s="80"/>
      <c r="AE3" s="80"/>
      <c r="AF3" s="80"/>
      <c r="AG3" s="80"/>
      <c r="AH3" s="80"/>
      <c r="AI3" s="80"/>
    </row>
    <row r="4" spans="2:35" ht="13.5" customHeight="1" thickBot="1" x14ac:dyDescent="0.25">
      <c r="C4" s="136"/>
      <c r="D4" s="95"/>
      <c r="E4" s="95"/>
      <c r="F4" s="95"/>
      <c r="G4" s="96"/>
      <c r="H4" s="136"/>
      <c r="I4" s="96"/>
      <c r="J4" s="96"/>
      <c r="K4" s="96"/>
      <c r="L4" s="136"/>
      <c r="M4" s="96"/>
      <c r="N4" s="96"/>
      <c r="O4" s="96"/>
      <c r="P4" s="50"/>
      <c r="Q4" s="79"/>
      <c r="R4" s="137"/>
      <c r="S4" s="96"/>
      <c r="T4" s="50"/>
      <c r="U4" s="79"/>
      <c r="V4" s="137"/>
      <c r="W4" s="50"/>
      <c r="X4" s="96"/>
      <c r="Y4" s="96"/>
      <c r="Z4" s="96"/>
      <c r="AA4" s="79"/>
      <c r="AB4" s="97"/>
      <c r="AC4" s="80"/>
      <c r="AD4" s="80"/>
      <c r="AE4" s="80"/>
      <c r="AF4" s="80"/>
      <c r="AG4" s="80"/>
      <c r="AH4" s="80"/>
      <c r="AI4" s="80"/>
    </row>
    <row r="5" spans="2:35" ht="47.25" customHeight="1" thickBot="1" x14ac:dyDescent="0.25">
      <c r="B5" s="119"/>
      <c r="C5" s="94" t="s">
        <v>27</v>
      </c>
      <c r="D5" s="100" t="s">
        <v>97</v>
      </c>
      <c r="E5" s="102" t="s">
        <v>77</v>
      </c>
      <c r="F5" s="120" t="s">
        <v>57</v>
      </c>
      <c r="G5" s="75"/>
      <c r="H5" s="101" t="s">
        <v>100</v>
      </c>
      <c r="I5" s="102" t="s">
        <v>101</v>
      </c>
      <c r="J5" s="120" t="s">
        <v>58</v>
      </c>
      <c r="K5" s="75"/>
      <c r="L5" s="101" t="s">
        <v>102</v>
      </c>
      <c r="M5" s="102" t="s">
        <v>103</v>
      </c>
      <c r="N5" s="120" t="s">
        <v>57</v>
      </c>
      <c r="O5" s="75"/>
      <c r="P5" s="118" t="s">
        <v>55</v>
      </c>
      <c r="Q5" s="77"/>
      <c r="R5" s="125" t="s">
        <v>62</v>
      </c>
      <c r="S5" s="102" t="s">
        <v>98</v>
      </c>
      <c r="T5" s="130" t="s">
        <v>67</v>
      </c>
      <c r="U5" s="53"/>
      <c r="V5" s="125" t="s">
        <v>64</v>
      </c>
      <c r="W5" s="110" t="s">
        <v>99</v>
      </c>
      <c r="X5" s="131" t="s">
        <v>68</v>
      </c>
      <c r="Y5" s="155"/>
      <c r="Z5" s="118" t="s">
        <v>69</v>
      </c>
      <c r="AB5" s="154" t="s">
        <v>65</v>
      </c>
      <c r="AC5" s="132"/>
      <c r="AD5" s="133" t="s">
        <v>70</v>
      </c>
      <c r="AE5" s="115"/>
      <c r="AF5" s="154" t="s">
        <v>66</v>
      </c>
      <c r="AG5" s="132"/>
      <c r="AH5" s="133" t="s">
        <v>71</v>
      </c>
      <c r="AI5" s="77"/>
    </row>
    <row r="6" spans="2:35" x14ac:dyDescent="0.2">
      <c r="B6" s="119">
        <v>1</v>
      </c>
      <c r="C6" s="81" t="s">
        <v>0</v>
      </c>
      <c r="D6" s="144">
        <v>266</v>
      </c>
      <c r="E6" s="145">
        <v>289</v>
      </c>
      <c r="F6" s="103">
        <f t="shared" ref="F6:F31" si="0">D6-E6</f>
        <v>-23</v>
      </c>
      <c r="G6" s="73"/>
      <c r="H6" s="52">
        <v>136</v>
      </c>
      <c r="I6" s="54">
        <v>116</v>
      </c>
      <c r="J6" s="67">
        <f>H6-I6</f>
        <v>20</v>
      </c>
      <c r="K6" s="76"/>
      <c r="L6" s="52">
        <v>97</v>
      </c>
      <c r="M6" s="54">
        <v>70</v>
      </c>
      <c r="N6" s="67">
        <f>L6-M6</f>
        <v>27</v>
      </c>
      <c r="O6" s="76"/>
      <c r="P6" s="61">
        <f>F6+J6+N6</f>
        <v>24</v>
      </c>
      <c r="Q6" s="78"/>
      <c r="R6" s="126">
        <v>1085</v>
      </c>
      <c r="S6" s="54">
        <v>1031</v>
      </c>
      <c r="T6" s="63">
        <f>SUM(S6-R6)</f>
        <v>-54</v>
      </c>
      <c r="U6" s="55"/>
      <c r="V6" s="126">
        <v>1130</v>
      </c>
      <c r="W6" s="108">
        <v>982</v>
      </c>
      <c r="X6" s="108">
        <f>SUM(W6-V6)</f>
        <v>-148</v>
      </c>
      <c r="Y6" s="78"/>
      <c r="Z6" s="61">
        <f>SUM(T6+X6)</f>
        <v>-202</v>
      </c>
      <c r="AB6" s="61">
        <f>RANK(P6,$P$6:$P$30,1)+COUNTIF($P$6:P6,P6)-1</f>
        <v>19</v>
      </c>
      <c r="AC6" s="159" t="str">
        <f>INDEX(C6:P30,MATCH(25,AB6:AB30,0),1)</f>
        <v>jarosławski</v>
      </c>
      <c r="AD6" s="183">
        <f>INDEX(C6:P30,MATCH(25,AB6:AB30,0),14)</f>
        <v>193</v>
      </c>
      <c r="AE6" s="116"/>
      <c r="AF6" s="61">
        <f>RANK(Z6,$Z$6:$Z$30,1)+COUNTIF($Z$6:Z6,Z6)-1</f>
        <v>13</v>
      </c>
      <c r="AG6" s="64" t="str">
        <f>INDEX(C6:Z30,MATCH(25,AF6:AF30,0),1)</f>
        <v>Krosno</v>
      </c>
      <c r="AH6" s="54">
        <f>INDEX(C6:Z30,MATCH(25,AF6:AF30,0),24)</f>
        <v>50</v>
      </c>
      <c r="AI6" s="79"/>
    </row>
    <row r="7" spans="2:35" x14ac:dyDescent="0.2">
      <c r="B7" s="119">
        <v>2</v>
      </c>
      <c r="C7" s="82" t="s">
        <v>1</v>
      </c>
      <c r="D7" s="146">
        <v>956</v>
      </c>
      <c r="E7" s="147">
        <v>956</v>
      </c>
      <c r="F7" s="104">
        <f t="shared" si="0"/>
        <v>0</v>
      </c>
      <c r="G7" s="73"/>
      <c r="H7" s="57">
        <v>256</v>
      </c>
      <c r="I7" s="56">
        <v>307</v>
      </c>
      <c r="J7" s="68">
        <f t="shared" ref="J7:J31" si="1">H7-I7</f>
        <v>-51</v>
      </c>
      <c r="K7" s="76"/>
      <c r="L7" s="57">
        <v>123</v>
      </c>
      <c r="M7" s="56">
        <v>138</v>
      </c>
      <c r="N7" s="68">
        <f t="shared" ref="N7:N31" si="2">L7-M7</f>
        <v>-15</v>
      </c>
      <c r="O7" s="76"/>
      <c r="P7" s="62">
        <f>F7+J7+N7</f>
        <v>-66</v>
      </c>
      <c r="Q7" s="78"/>
      <c r="R7" s="127">
        <v>3848</v>
      </c>
      <c r="S7" s="138">
        <v>3405</v>
      </c>
      <c r="T7" s="72">
        <f t="shared" ref="T7:T30" si="3">SUM(S7-R7)</f>
        <v>-443</v>
      </c>
      <c r="U7" s="55"/>
      <c r="V7" s="127">
        <v>3780</v>
      </c>
      <c r="W7" s="109">
        <v>3452</v>
      </c>
      <c r="X7" s="109">
        <f t="shared" ref="X7:X30" si="4">SUM(W7-V7)</f>
        <v>-328</v>
      </c>
      <c r="Y7" s="78"/>
      <c r="Z7" s="62">
        <f>SUM(T7+X7)</f>
        <v>-771</v>
      </c>
      <c r="AB7" s="62">
        <f>RANK(P7,$P$6:$P$30,1)+COUNTIF($P$6:P7,P7)-1</f>
        <v>4</v>
      </c>
      <c r="AC7" s="65" t="str">
        <f>INDEX(C6:P30,MATCH(24,AB6:AB30,0),1)</f>
        <v>sanocki</v>
      </c>
      <c r="AD7" s="56">
        <f>INDEX(C6:P30,MATCH(24,AB6:AB30,0),14)</f>
        <v>125</v>
      </c>
      <c r="AE7" s="116"/>
      <c r="AF7" s="62">
        <f>RANK(Z7,$Z$6:$Z$30,1)+COUNTIF($Z$6:Z7,Z7)-1</f>
        <v>1</v>
      </c>
      <c r="AG7" s="65" t="str">
        <f>INDEX(C6:Z30,MATCH(24,AF6:AF30,0),1)</f>
        <v>stalowowolski</v>
      </c>
      <c r="AH7" s="56">
        <f>INDEX(C6:Z30,MATCH(24,AF6:AF30,0),24)</f>
        <v>30</v>
      </c>
      <c r="AI7" s="79"/>
    </row>
    <row r="8" spans="2:35" x14ac:dyDescent="0.2">
      <c r="B8" s="119">
        <v>3</v>
      </c>
      <c r="C8" s="82" t="s">
        <v>2</v>
      </c>
      <c r="D8" s="146">
        <v>1022</v>
      </c>
      <c r="E8" s="147">
        <v>974</v>
      </c>
      <c r="F8" s="104">
        <f t="shared" si="0"/>
        <v>48</v>
      </c>
      <c r="G8" s="73"/>
      <c r="H8" s="57">
        <v>173</v>
      </c>
      <c r="I8" s="56">
        <v>199</v>
      </c>
      <c r="J8" s="68">
        <f t="shared" si="1"/>
        <v>-26</v>
      </c>
      <c r="K8" s="76"/>
      <c r="L8" s="57">
        <v>105</v>
      </c>
      <c r="M8" s="56">
        <v>107</v>
      </c>
      <c r="N8" s="68">
        <f t="shared" si="2"/>
        <v>-2</v>
      </c>
      <c r="O8" s="76"/>
      <c r="P8" s="62">
        <f>F8+J8+N8</f>
        <v>20</v>
      </c>
      <c r="Q8" s="78"/>
      <c r="R8" s="127">
        <v>2433</v>
      </c>
      <c r="S8" s="138">
        <v>2260</v>
      </c>
      <c r="T8" s="56">
        <f t="shared" si="3"/>
        <v>-173</v>
      </c>
      <c r="U8" s="50"/>
      <c r="V8" s="127">
        <v>2247</v>
      </c>
      <c r="W8" s="109">
        <v>2214</v>
      </c>
      <c r="X8" s="68">
        <f t="shared" si="4"/>
        <v>-33</v>
      </c>
      <c r="Y8" s="79"/>
      <c r="Z8" s="62">
        <f t="shared" ref="Z8:Z31" si="5">SUM(T8+X8)</f>
        <v>-206</v>
      </c>
      <c r="AB8" s="62">
        <f>RANK(P8,$P$6:$P$30,1)+COUNTIF($P$6:P8,P8)-1</f>
        <v>18</v>
      </c>
      <c r="AC8" s="65" t="str">
        <f>INDEX(C6:P30,MATCH(23,AB6:AB30,0),1)</f>
        <v>łańcucki</v>
      </c>
      <c r="AD8" s="56">
        <f>INDEX(C6:P30,MATCH(23,AB6:AB30,0),14)</f>
        <v>64</v>
      </c>
      <c r="AE8" s="116"/>
      <c r="AF8" s="62">
        <f>RANK(Z8,$Z$6:$Z$30,1)+COUNTIF($Z$6:Z8,Z8)-1</f>
        <v>12</v>
      </c>
      <c r="AG8" s="65" t="str">
        <f>INDEX(C6:Z30,MATCH(23,AF6:AF30,0),1)</f>
        <v>Rzeszów</v>
      </c>
      <c r="AH8" s="56">
        <f>INDEX(C6:Z30,MATCH(23,AF6:AF30,0),24)</f>
        <v>26</v>
      </c>
      <c r="AI8" s="79"/>
    </row>
    <row r="9" spans="2:35" x14ac:dyDescent="0.2">
      <c r="B9" s="119">
        <v>4</v>
      </c>
      <c r="C9" s="82" t="s">
        <v>3</v>
      </c>
      <c r="D9" s="146">
        <v>1403</v>
      </c>
      <c r="E9" s="147">
        <v>1219</v>
      </c>
      <c r="F9" s="104">
        <f t="shared" si="0"/>
        <v>184</v>
      </c>
      <c r="G9" s="73"/>
      <c r="H9" s="57">
        <v>437</v>
      </c>
      <c r="I9" s="56">
        <v>450</v>
      </c>
      <c r="J9" s="68">
        <f t="shared" si="1"/>
        <v>-13</v>
      </c>
      <c r="K9" s="76"/>
      <c r="L9" s="57">
        <v>212</v>
      </c>
      <c r="M9" s="56">
        <v>190</v>
      </c>
      <c r="N9" s="68">
        <f t="shared" si="2"/>
        <v>22</v>
      </c>
      <c r="O9" s="76"/>
      <c r="P9" s="62">
        <f t="shared" ref="P9:P30" si="6">F9+J9+N9</f>
        <v>193</v>
      </c>
      <c r="Q9" s="78"/>
      <c r="R9" s="127">
        <v>4299</v>
      </c>
      <c r="S9" s="138">
        <v>4239</v>
      </c>
      <c r="T9" s="56">
        <f t="shared" si="3"/>
        <v>-60</v>
      </c>
      <c r="U9" s="50"/>
      <c r="V9" s="127">
        <v>4489</v>
      </c>
      <c r="W9" s="109">
        <v>4380</v>
      </c>
      <c r="X9" s="68">
        <f t="shared" si="4"/>
        <v>-109</v>
      </c>
      <c r="Y9" s="79"/>
      <c r="Z9" s="62">
        <f t="shared" si="5"/>
        <v>-169</v>
      </c>
      <c r="AB9" s="62">
        <f>RANK(P9,$P$6:$P$30,1)+COUNTIF($P$6:P9,P9)-1</f>
        <v>25</v>
      </c>
      <c r="AC9" s="65" t="str">
        <f>INDEX(C6:P30,MATCH(22,AB6:AB30,0),1)</f>
        <v>krośnieński</v>
      </c>
      <c r="AD9" s="56">
        <f>INDEX(C6:P30,MATCH(22,AB6:AB30,0),14)</f>
        <v>57</v>
      </c>
      <c r="AE9" s="116"/>
      <c r="AF9" s="62">
        <f>RANK(Z9,$Z$6:$Z$30,1)+COUNTIF($Z$6:Z9,Z9)-1</f>
        <v>14</v>
      </c>
      <c r="AG9" s="65" t="str">
        <f>INDEX(C6:Z30,MATCH(22,AF6:AF30,0),1)</f>
        <v>Tarnobrzeg</v>
      </c>
      <c r="AH9" s="56">
        <f>INDEX(C6:Z30,MATCH(22,AF6:AF30,0),24)</f>
        <v>5</v>
      </c>
      <c r="AI9" s="79"/>
    </row>
    <row r="10" spans="2:35" x14ac:dyDescent="0.2">
      <c r="B10" s="119">
        <v>5</v>
      </c>
      <c r="C10" s="82" t="s">
        <v>4</v>
      </c>
      <c r="D10" s="146">
        <v>1173</v>
      </c>
      <c r="E10" s="147">
        <v>1265</v>
      </c>
      <c r="F10" s="104">
        <f t="shared" si="0"/>
        <v>-92</v>
      </c>
      <c r="G10" s="73"/>
      <c r="H10" s="57">
        <v>370</v>
      </c>
      <c r="I10" s="56">
        <v>348</v>
      </c>
      <c r="J10" s="68">
        <f t="shared" si="1"/>
        <v>22</v>
      </c>
      <c r="K10" s="76"/>
      <c r="L10" s="57">
        <v>166</v>
      </c>
      <c r="M10" s="56">
        <v>211</v>
      </c>
      <c r="N10" s="68">
        <f t="shared" si="2"/>
        <v>-45</v>
      </c>
      <c r="O10" s="76"/>
      <c r="P10" s="62">
        <f t="shared" si="6"/>
        <v>-115</v>
      </c>
      <c r="Q10" s="78"/>
      <c r="R10" s="127">
        <v>5107</v>
      </c>
      <c r="S10" s="138">
        <v>4693</v>
      </c>
      <c r="T10" s="56">
        <f t="shared" si="3"/>
        <v>-414</v>
      </c>
      <c r="U10" s="50"/>
      <c r="V10" s="127">
        <v>4919</v>
      </c>
      <c r="W10" s="109">
        <v>4650</v>
      </c>
      <c r="X10" s="68">
        <f t="shared" si="4"/>
        <v>-269</v>
      </c>
      <c r="Y10" s="79"/>
      <c r="Z10" s="62">
        <f t="shared" si="5"/>
        <v>-683</v>
      </c>
      <c r="AB10" s="62">
        <f>RANK(P10,$P$6:$P$30,1)+COUNTIF($P$6:P10,P10)-1</f>
        <v>2</v>
      </c>
      <c r="AC10" s="65" t="str">
        <f>INDEX(C6:P30,MATCH(21,AB6:AB30,0),1)</f>
        <v>leski</v>
      </c>
      <c r="AD10" s="56">
        <f>INDEX(C6:P30,MATCH(21,AB6:AB30,0),14)</f>
        <v>32</v>
      </c>
      <c r="AE10" s="116"/>
      <c r="AF10" s="62">
        <f>RANK(Z10,$Z$6:$Z$30,1)+COUNTIF($Z$6:Z10,Z10)-1</f>
        <v>2</v>
      </c>
      <c r="AG10" s="65" t="str">
        <f>INDEX(C6:Z30,MATCH(21,AF6:AF30,0),1)</f>
        <v>ropczycko-sędziszowski</v>
      </c>
      <c r="AH10" s="56">
        <f>INDEX(C6:Z30,MATCH(21,AF6:AF30,0),24)</f>
        <v>-37</v>
      </c>
      <c r="AI10" s="79"/>
    </row>
    <row r="11" spans="2:35" x14ac:dyDescent="0.2">
      <c r="B11" s="119">
        <v>6</v>
      </c>
      <c r="C11" s="82" t="s">
        <v>5</v>
      </c>
      <c r="D11" s="146">
        <v>549</v>
      </c>
      <c r="E11" s="147">
        <v>514</v>
      </c>
      <c r="F11" s="104">
        <f t="shared" si="0"/>
        <v>35</v>
      </c>
      <c r="G11" s="73"/>
      <c r="H11" s="57">
        <v>109</v>
      </c>
      <c r="I11" s="56">
        <v>111</v>
      </c>
      <c r="J11" s="68">
        <f t="shared" si="1"/>
        <v>-2</v>
      </c>
      <c r="K11" s="76"/>
      <c r="L11" s="57">
        <v>88</v>
      </c>
      <c r="M11" s="56">
        <v>90</v>
      </c>
      <c r="N11" s="68">
        <f t="shared" si="2"/>
        <v>-2</v>
      </c>
      <c r="O11" s="76"/>
      <c r="P11" s="62">
        <f>F11+J11+N11</f>
        <v>31</v>
      </c>
      <c r="Q11" s="78"/>
      <c r="R11" s="127">
        <v>1494</v>
      </c>
      <c r="S11" s="138">
        <v>1509</v>
      </c>
      <c r="T11" s="138">
        <f>SUM(S11-R11)</f>
        <v>15</v>
      </c>
      <c r="U11" s="50"/>
      <c r="V11" s="127">
        <v>1536</v>
      </c>
      <c r="W11" s="109">
        <v>1480</v>
      </c>
      <c r="X11" s="109">
        <f>SUM(W11-V11)</f>
        <v>-56</v>
      </c>
      <c r="Y11" s="78"/>
      <c r="Z11" s="62">
        <f t="shared" si="5"/>
        <v>-41</v>
      </c>
      <c r="AB11" s="62">
        <f>RANK(P11,$P$6:$P$30,1)+COUNTIF($P$6:P11,P11)-1</f>
        <v>20</v>
      </c>
      <c r="AC11" s="65" t="str">
        <f>INDEX(C6:P30,MATCH(20,AB6:AB30,0),1)</f>
        <v>kolbuszowski</v>
      </c>
      <c r="AD11" s="56">
        <f>INDEX(C6:P30,MATCH(20,AB6:AB30,0),14)</f>
        <v>31</v>
      </c>
      <c r="AE11" s="116"/>
      <c r="AF11" s="62">
        <f>RANK(Z11,$Z$6:$Z$30,1)+COUNTIF($Z$6:Z11,Z11)-1</f>
        <v>20</v>
      </c>
      <c r="AG11" s="65" t="str">
        <f>INDEX(C6:Z30,MATCH(20,AF6:AF30,0),1)</f>
        <v>kolbuszowski</v>
      </c>
      <c r="AH11" s="56">
        <f>INDEX(C6:Z30,MATCH(20,AF6:AF30,0),24)</f>
        <v>-41</v>
      </c>
      <c r="AI11" s="79"/>
    </row>
    <row r="12" spans="2:35" x14ac:dyDescent="0.2">
      <c r="B12" s="119">
        <v>7</v>
      </c>
      <c r="C12" s="82" t="s">
        <v>6</v>
      </c>
      <c r="D12" s="146">
        <v>903</v>
      </c>
      <c r="E12" s="147">
        <v>838</v>
      </c>
      <c r="F12" s="104">
        <f t="shared" si="0"/>
        <v>65</v>
      </c>
      <c r="G12" s="73"/>
      <c r="H12" s="57">
        <v>148</v>
      </c>
      <c r="I12" s="56">
        <v>157</v>
      </c>
      <c r="J12" s="68">
        <f t="shared" si="1"/>
        <v>-9</v>
      </c>
      <c r="K12" s="76"/>
      <c r="L12" s="57">
        <v>94</v>
      </c>
      <c r="M12" s="56">
        <v>93</v>
      </c>
      <c r="N12" s="68">
        <f t="shared" si="2"/>
        <v>1</v>
      </c>
      <c r="O12" s="76"/>
      <c r="P12" s="62">
        <f>F12+J12+N12</f>
        <v>57</v>
      </c>
      <c r="Q12" s="78"/>
      <c r="R12" s="127">
        <v>2221</v>
      </c>
      <c r="S12" s="138">
        <v>2136</v>
      </c>
      <c r="T12" s="72">
        <f t="shared" si="3"/>
        <v>-85</v>
      </c>
      <c r="U12" s="50"/>
      <c r="V12" s="127">
        <v>2356</v>
      </c>
      <c r="W12" s="109">
        <v>2372</v>
      </c>
      <c r="X12" s="68">
        <f t="shared" si="4"/>
        <v>16</v>
      </c>
      <c r="Y12" s="79"/>
      <c r="Z12" s="62">
        <f>SUM(T12+X12)</f>
        <v>-69</v>
      </c>
      <c r="AB12" s="62">
        <f>RANK(P12,$P$6:$P$30,1)+COUNTIF($P$6:P12,P12)-1</f>
        <v>22</v>
      </c>
      <c r="AC12" s="65" t="str">
        <f>INDEX(C6:P30,MATCH(19,AB6:AB30,0),1)</f>
        <v>bieszczadzki</v>
      </c>
      <c r="AD12" s="56">
        <f>INDEX(C6:P30,MATCH(19,AB6:AB30,0),14)</f>
        <v>24</v>
      </c>
      <c r="AE12" s="116"/>
      <c r="AF12" s="62">
        <f>RANK(Z12,$Z$6:$Z$30,1)+COUNTIF($Z$6:Z12,Z12)-1</f>
        <v>18</v>
      </c>
      <c r="AG12" s="65" t="str">
        <f>INDEX(C6:Z30,MATCH(19,AF6:AF30,0),1)</f>
        <v>tarnobrzeski</v>
      </c>
      <c r="AH12" s="56">
        <f>INDEX(C6:Z30,MATCH(19,AF6:AF30,0),24)</f>
        <v>-64</v>
      </c>
      <c r="AI12" s="79"/>
    </row>
    <row r="13" spans="2:35" x14ac:dyDescent="0.2">
      <c r="B13" s="119">
        <v>8</v>
      </c>
      <c r="C13" s="82" t="s">
        <v>7</v>
      </c>
      <c r="D13" s="146">
        <v>529</v>
      </c>
      <c r="E13" s="147">
        <v>505</v>
      </c>
      <c r="F13" s="104">
        <f t="shared" si="0"/>
        <v>24</v>
      </c>
      <c r="G13" s="73"/>
      <c r="H13" s="57">
        <v>124</v>
      </c>
      <c r="I13" s="56">
        <v>116</v>
      </c>
      <c r="J13" s="68">
        <f t="shared" si="1"/>
        <v>8</v>
      </c>
      <c r="K13" s="76"/>
      <c r="L13" s="57">
        <v>63</v>
      </c>
      <c r="M13" s="56">
        <v>63</v>
      </c>
      <c r="N13" s="68">
        <f t="shared" si="2"/>
        <v>0</v>
      </c>
      <c r="O13" s="76"/>
      <c r="P13" s="62">
        <f t="shared" si="6"/>
        <v>32</v>
      </c>
      <c r="Q13" s="78"/>
      <c r="R13" s="127">
        <v>1716</v>
      </c>
      <c r="S13" s="138">
        <v>1531</v>
      </c>
      <c r="T13" s="56">
        <f t="shared" si="3"/>
        <v>-185</v>
      </c>
      <c r="U13" s="50"/>
      <c r="V13" s="127">
        <v>1726</v>
      </c>
      <c r="W13" s="109">
        <v>1522</v>
      </c>
      <c r="X13" s="68">
        <f t="shared" si="4"/>
        <v>-204</v>
      </c>
      <c r="Y13" s="79"/>
      <c r="Z13" s="62">
        <f t="shared" si="5"/>
        <v>-389</v>
      </c>
      <c r="AB13" s="62">
        <f>RANK(P13,$P$6:$P$30,1)+COUNTIF($P$6:P13,P13)-1</f>
        <v>21</v>
      </c>
      <c r="AC13" s="65" t="str">
        <f>INDEX(C6:P30,MATCH(18,AB6:AB30,0),1)</f>
        <v>dębicki</v>
      </c>
      <c r="AD13" s="56">
        <f>INDEX(C6:P30,MATCH(18,AB6:AB30,0),14)</f>
        <v>20</v>
      </c>
      <c r="AE13" s="116"/>
      <c r="AF13" s="62">
        <f>RANK(Z13,$Z$6:$Z$30,1)+COUNTIF($Z$6:Z13,Z13)-1</f>
        <v>5</v>
      </c>
      <c r="AG13" s="65" t="str">
        <f>INDEX(C6:Z30,MATCH(18,AF6:AF30,0),1)</f>
        <v>krośnieński</v>
      </c>
      <c r="AH13" s="56">
        <f>INDEX(C6:Z30,MATCH(18,AF6:AF30,0),24)</f>
        <v>-69</v>
      </c>
      <c r="AI13" s="79"/>
    </row>
    <row r="14" spans="2:35" x14ac:dyDescent="0.2">
      <c r="B14" s="119">
        <v>9</v>
      </c>
      <c r="C14" s="82" t="s">
        <v>8</v>
      </c>
      <c r="D14" s="146">
        <v>744</v>
      </c>
      <c r="E14" s="147">
        <v>703</v>
      </c>
      <c r="F14" s="104">
        <f t="shared" si="0"/>
        <v>41</v>
      </c>
      <c r="G14" s="73"/>
      <c r="H14" s="57">
        <v>199</v>
      </c>
      <c r="I14" s="56">
        <v>260</v>
      </c>
      <c r="J14" s="68">
        <f t="shared" si="1"/>
        <v>-61</v>
      </c>
      <c r="K14" s="76"/>
      <c r="L14" s="57">
        <v>309</v>
      </c>
      <c r="M14" s="56">
        <v>303</v>
      </c>
      <c r="N14" s="68">
        <f t="shared" si="2"/>
        <v>6</v>
      </c>
      <c r="O14" s="76"/>
      <c r="P14" s="62">
        <f t="shared" si="6"/>
        <v>-14</v>
      </c>
      <c r="Q14" s="78"/>
      <c r="R14" s="127">
        <v>3105</v>
      </c>
      <c r="S14" s="138">
        <v>2809</v>
      </c>
      <c r="T14" s="56">
        <f t="shared" si="3"/>
        <v>-296</v>
      </c>
      <c r="U14" s="50"/>
      <c r="V14" s="127">
        <v>2975</v>
      </c>
      <c r="W14" s="109">
        <v>2840</v>
      </c>
      <c r="X14" s="68">
        <f t="shared" si="4"/>
        <v>-135</v>
      </c>
      <c r="Y14" s="79"/>
      <c r="Z14" s="62">
        <f t="shared" si="5"/>
        <v>-431</v>
      </c>
      <c r="AB14" s="62">
        <f>RANK(P14,$P$6:$P$30,1)+COUNTIF($P$6:P14,P14)-1</f>
        <v>14</v>
      </c>
      <c r="AC14" s="65" t="str">
        <f>INDEX(C6:P30,MATCH(17,AB6:AB30,0),1)</f>
        <v>tarnobrzeski</v>
      </c>
      <c r="AD14" s="56">
        <f>INDEX(C6:P30,MATCH(17,AB6:AB30,0),14)</f>
        <v>19</v>
      </c>
      <c r="AE14" s="116"/>
      <c r="AF14" s="156">
        <f>RANK(Z14,$Z$6:$Z$30,1)+COUNTIF($Z$6:Z14,Z14)-1</f>
        <v>4</v>
      </c>
      <c r="AG14" s="65" t="str">
        <f>INDEX(C6:Z30,MATCH(17,AF6:AF30,0),1)</f>
        <v>Przemyśl</v>
      </c>
      <c r="AH14" s="56">
        <f>INDEX(C6:Z30,MATCH(17,AF6:AF30,0),24)</f>
        <v>-89</v>
      </c>
      <c r="AI14" s="79"/>
    </row>
    <row r="15" spans="2:35" x14ac:dyDescent="0.2">
      <c r="B15" s="119">
        <v>10</v>
      </c>
      <c r="C15" s="82" t="s">
        <v>9</v>
      </c>
      <c r="D15" s="146">
        <v>562</v>
      </c>
      <c r="E15" s="147">
        <v>642</v>
      </c>
      <c r="F15" s="104">
        <f t="shared" si="0"/>
        <v>-80</v>
      </c>
      <c r="G15" s="73"/>
      <c r="H15" s="57">
        <v>193</v>
      </c>
      <c r="I15" s="56">
        <v>157</v>
      </c>
      <c r="J15" s="68">
        <f t="shared" si="1"/>
        <v>36</v>
      </c>
      <c r="K15" s="76"/>
      <c r="L15" s="57">
        <v>150</v>
      </c>
      <c r="M15" s="56">
        <v>151</v>
      </c>
      <c r="N15" s="68">
        <f t="shared" si="2"/>
        <v>-1</v>
      </c>
      <c r="O15" s="76"/>
      <c r="P15" s="62">
        <f t="shared" si="6"/>
        <v>-45</v>
      </c>
      <c r="Q15" s="78"/>
      <c r="R15" s="127">
        <v>1867</v>
      </c>
      <c r="S15" s="138">
        <v>1586</v>
      </c>
      <c r="T15" s="56">
        <f t="shared" si="3"/>
        <v>-281</v>
      </c>
      <c r="U15" s="50"/>
      <c r="V15" s="127">
        <v>1704</v>
      </c>
      <c r="W15" s="109">
        <v>1528</v>
      </c>
      <c r="X15" s="68">
        <f t="shared" si="4"/>
        <v>-176</v>
      </c>
      <c r="Y15" s="79"/>
      <c r="Z15" s="62">
        <f t="shared" si="5"/>
        <v>-457</v>
      </c>
      <c r="AB15" s="62">
        <f>RANK(P15,$P$6:$P$30,1)+COUNTIF($P$6:P15,P15)-1</f>
        <v>8</v>
      </c>
      <c r="AC15" s="65" t="str">
        <f>INDEX(C6:P30,MATCH(16,AB6:AB30,0),1)</f>
        <v>niżański</v>
      </c>
      <c r="AD15" s="56">
        <f>INDEX(C6:P30,MATCH(16,AB6:AB30,0),14)</f>
        <v>-7</v>
      </c>
      <c r="AE15" s="116"/>
      <c r="AF15" s="62">
        <f>RANK(Z15,$Z$6:$Z$30,1)+COUNTIF($Z$6:Z15,Z15)-1</f>
        <v>3</v>
      </c>
      <c r="AG15" s="65" t="str">
        <f>INDEX(C6:Z30,MATCH(16,AF6:AF30,0),1)</f>
        <v>mielecki</v>
      </c>
      <c r="AH15" s="56">
        <f>INDEX(C6:Z30,MATCH(16,AF6:AF30,0),24)</f>
        <v>-108</v>
      </c>
      <c r="AI15" s="79"/>
    </row>
    <row r="16" spans="2:35" x14ac:dyDescent="0.2">
      <c r="B16" s="119">
        <v>11</v>
      </c>
      <c r="C16" s="82" t="s">
        <v>10</v>
      </c>
      <c r="D16" s="146">
        <v>966</v>
      </c>
      <c r="E16" s="147">
        <v>875</v>
      </c>
      <c r="F16" s="104">
        <f t="shared" si="0"/>
        <v>91</v>
      </c>
      <c r="G16" s="73"/>
      <c r="H16" s="57">
        <v>273</v>
      </c>
      <c r="I16" s="56">
        <v>283</v>
      </c>
      <c r="J16" s="68">
        <f t="shared" si="1"/>
        <v>-10</v>
      </c>
      <c r="K16" s="76"/>
      <c r="L16" s="57">
        <v>124</v>
      </c>
      <c r="M16" s="56">
        <v>141</v>
      </c>
      <c r="N16" s="68">
        <f t="shared" si="2"/>
        <v>-17</v>
      </c>
      <c r="O16" s="76"/>
      <c r="P16" s="62">
        <f t="shared" si="6"/>
        <v>64</v>
      </c>
      <c r="Q16" s="78"/>
      <c r="R16" s="127">
        <v>2547</v>
      </c>
      <c r="S16" s="138">
        <v>2401</v>
      </c>
      <c r="T16" s="56">
        <f t="shared" si="3"/>
        <v>-146</v>
      </c>
      <c r="U16" s="50"/>
      <c r="V16" s="127">
        <v>2519</v>
      </c>
      <c r="W16" s="109">
        <v>2323</v>
      </c>
      <c r="X16" s="68">
        <f t="shared" si="4"/>
        <v>-196</v>
      </c>
      <c r="Y16" s="79"/>
      <c r="Z16" s="62">
        <f t="shared" si="5"/>
        <v>-342</v>
      </c>
      <c r="AB16" s="62">
        <f>RANK(P16,$P$6:$P$30,1)+COUNTIF($P$6:P16,P16)-1</f>
        <v>23</v>
      </c>
      <c r="AC16" s="65" t="str">
        <f>INDEX(C6:P30,MATCH(15,AB6:AB30,0),1)</f>
        <v>stalowowolski</v>
      </c>
      <c r="AD16" s="56">
        <f>INDEX(C6:P30,MATCH(15,AB6:AB30,0),14)</f>
        <v>-12</v>
      </c>
      <c r="AE16" s="116"/>
      <c r="AF16" s="62">
        <f>RANK(Z16,$Z$6:$Z$30,1)+COUNTIF($Z$6:Z16,Z16)-1</f>
        <v>8</v>
      </c>
      <c r="AG16" s="65" t="str">
        <f>INDEX(C6:Z30,MATCH(15,AF6:AF30,0),1)</f>
        <v>sanocki</v>
      </c>
      <c r="AH16" s="56">
        <f>INDEX(C6:Z30,MATCH(15,AF6:AF30,0),24)</f>
        <v>-120</v>
      </c>
      <c r="AI16" s="79"/>
    </row>
    <row r="17" spans="2:35" x14ac:dyDescent="0.2">
      <c r="B17" s="119">
        <v>12</v>
      </c>
      <c r="C17" s="82" t="s">
        <v>11</v>
      </c>
      <c r="D17" s="146">
        <v>1276</v>
      </c>
      <c r="E17" s="147">
        <v>1316</v>
      </c>
      <c r="F17" s="104">
        <f t="shared" si="0"/>
        <v>-40</v>
      </c>
      <c r="G17" s="73"/>
      <c r="H17" s="57">
        <v>262</v>
      </c>
      <c r="I17" s="56">
        <v>280</v>
      </c>
      <c r="J17" s="68">
        <f t="shared" si="1"/>
        <v>-18</v>
      </c>
      <c r="K17" s="76"/>
      <c r="L17" s="57">
        <v>191</v>
      </c>
      <c r="M17" s="56">
        <v>191</v>
      </c>
      <c r="N17" s="68">
        <f t="shared" si="2"/>
        <v>0</v>
      </c>
      <c r="O17" s="76"/>
      <c r="P17" s="62">
        <f>F17+J17+N17</f>
        <v>-58</v>
      </c>
      <c r="Q17" s="78"/>
      <c r="R17" s="127">
        <v>3017</v>
      </c>
      <c r="S17" s="138">
        <v>2872</v>
      </c>
      <c r="T17" s="56">
        <f t="shared" si="3"/>
        <v>-145</v>
      </c>
      <c r="U17" s="50"/>
      <c r="V17" s="127">
        <v>3075</v>
      </c>
      <c r="W17" s="109">
        <v>3112</v>
      </c>
      <c r="X17" s="68">
        <f t="shared" si="4"/>
        <v>37</v>
      </c>
      <c r="Y17" s="79"/>
      <c r="Z17" s="62">
        <f>SUM(T17+X17)</f>
        <v>-108</v>
      </c>
      <c r="AB17" s="62">
        <f>RANK(P17,$P$6:$P$30,1)+COUNTIF($P$6:P17,P17)-1</f>
        <v>6</v>
      </c>
      <c r="AC17" s="65" t="str">
        <f>INDEX(C6:P30,MATCH(14,AB6:AB30,0),1)</f>
        <v>leżajski</v>
      </c>
      <c r="AD17" s="56">
        <f>INDEX(C6:P30,MATCH(14,AB6:AB30,0),14)</f>
        <v>-14</v>
      </c>
      <c r="AE17" s="116"/>
      <c r="AF17" s="62">
        <f>RANK(Z17,$Z$6:$Z$30,1)+COUNTIF($Z$6:Z17,Z17)-1</f>
        <v>16</v>
      </c>
      <c r="AG17" s="65" t="str">
        <f>INDEX(C6:Z30,MATCH(14,AF6:AF30,0),1)</f>
        <v>jarosławski</v>
      </c>
      <c r="AH17" s="56">
        <f>INDEX(C6:Z30,MATCH(14,AF6:AF30,0),24)</f>
        <v>-169</v>
      </c>
      <c r="AI17" s="79"/>
    </row>
    <row r="18" spans="2:35" x14ac:dyDescent="0.2">
      <c r="B18" s="119">
        <v>13</v>
      </c>
      <c r="C18" s="82" t="s">
        <v>12</v>
      </c>
      <c r="D18" s="146">
        <v>749</v>
      </c>
      <c r="E18" s="147">
        <v>710</v>
      </c>
      <c r="F18" s="104">
        <f t="shared" si="0"/>
        <v>39</v>
      </c>
      <c r="G18" s="73"/>
      <c r="H18" s="57">
        <v>269</v>
      </c>
      <c r="I18" s="56">
        <v>303</v>
      </c>
      <c r="J18" s="68">
        <f t="shared" si="1"/>
        <v>-34</v>
      </c>
      <c r="K18" s="76"/>
      <c r="L18" s="57">
        <v>125</v>
      </c>
      <c r="M18" s="56">
        <v>137</v>
      </c>
      <c r="N18" s="68">
        <f t="shared" si="2"/>
        <v>-12</v>
      </c>
      <c r="O18" s="76"/>
      <c r="P18" s="62">
        <f t="shared" si="6"/>
        <v>-7</v>
      </c>
      <c r="Q18" s="78"/>
      <c r="R18" s="127">
        <v>3043</v>
      </c>
      <c r="S18" s="138">
        <v>2794</v>
      </c>
      <c r="T18" s="56">
        <f t="shared" si="3"/>
        <v>-249</v>
      </c>
      <c r="U18" s="50"/>
      <c r="V18" s="127">
        <v>2929</v>
      </c>
      <c r="W18" s="109">
        <v>2804</v>
      </c>
      <c r="X18" s="68">
        <f t="shared" si="4"/>
        <v>-125</v>
      </c>
      <c r="Y18" s="79"/>
      <c r="Z18" s="62">
        <f t="shared" si="5"/>
        <v>-374</v>
      </c>
      <c r="AB18" s="62">
        <f>RANK(P18,$P$6:$P$30,1)+COUNTIF($P$6:P18,P18)-1</f>
        <v>16</v>
      </c>
      <c r="AC18" s="65" t="str">
        <f>INDEX(C6:P30,MATCH(13,AB6:AB30,0),1)</f>
        <v>ropczycko-sędziszowski</v>
      </c>
      <c r="AD18" s="56">
        <f>INDEX(C6:P30,MATCH(13,AB6:AB30,0),14)</f>
        <v>-26</v>
      </c>
      <c r="AE18" s="116"/>
      <c r="AF18" s="62">
        <f>RANK(Z18,$Z$6:$Z$30,1)+COUNTIF($Z$6:Z18,Z18)-1</f>
        <v>7</v>
      </c>
      <c r="AG18" s="158" t="str">
        <f>INDEX(C6:Z30,MATCH(13,AF6:AF30,0),1)</f>
        <v>bieszczadzki</v>
      </c>
      <c r="AH18" s="162">
        <f>INDEX(C6:Z30,MATCH(13,AF6:AF30,0),24)</f>
        <v>-202</v>
      </c>
      <c r="AI18" s="79"/>
    </row>
    <row r="19" spans="2:35" x14ac:dyDescent="0.2">
      <c r="B19" s="119">
        <v>14</v>
      </c>
      <c r="C19" s="82" t="s">
        <v>13</v>
      </c>
      <c r="D19" s="146">
        <v>809</v>
      </c>
      <c r="E19" s="147">
        <v>784</v>
      </c>
      <c r="F19" s="104">
        <f t="shared" si="0"/>
        <v>25</v>
      </c>
      <c r="G19" s="73"/>
      <c r="H19" s="57">
        <v>225</v>
      </c>
      <c r="I19" s="56">
        <v>294</v>
      </c>
      <c r="J19" s="68">
        <f t="shared" si="1"/>
        <v>-69</v>
      </c>
      <c r="K19" s="76"/>
      <c r="L19" s="57">
        <v>50</v>
      </c>
      <c r="M19" s="56">
        <v>58</v>
      </c>
      <c r="N19" s="68">
        <f t="shared" si="2"/>
        <v>-8</v>
      </c>
      <c r="O19" s="76"/>
      <c r="P19" s="62">
        <f t="shared" si="6"/>
        <v>-52</v>
      </c>
      <c r="Q19" s="78"/>
      <c r="R19" s="127">
        <v>2963</v>
      </c>
      <c r="S19" s="138">
        <v>2711</v>
      </c>
      <c r="T19" s="56">
        <f t="shared" si="3"/>
        <v>-252</v>
      </c>
      <c r="U19" s="50"/>
      <c r="V19" s="127">
        <v>2958</v>
      </c>
      <c r="W19" s="109">
        <v>2834</v>
      </c>
      <c r="X19" s="68">
        <f t="shared" si="4"/>
        <v>-124</v>
      </c>
      <c r="Y19" s="79"/>
      <c r="Z19" s="62">
        <f t="shared" si="5"/>
        <v>-376</v>
      </c>
      <c r="AB19" s="62">
        <f>RANK(P19,$P$6:$P$30,1)+COUNTIF($P$6:P19,P19)-1</f>
        <v>7</v>
      </c>
      <c r="AC19" s="65" t="str">
        <f>INDEX(C6:P30,MATCH(12,AB6:AB30,0),1)</f>
        <v>strzyżowski</v>
      </c>
      <c r="AD19" s="56">
        <f>INDEX(C6:P30,MATCH(12,AB6:AB30,0),14)</f>
        <v>-30</v>
      </c>
      <c r="AE19" s="116"/>
      <c r="AF19" s="62">
        <f>RANK(Z19,$Z$6:$Z$30,1)+COUNTIF($Z$6:Z19,Z19)-1</f>
        <v>6</v>
      </c>
      <c r="AG19" s="65" t="str">
        <f>INDEX(C6:Z30,MATCH(12,AF6:AF30,0),1)</f>
        <v>dębicki</v>
      </c>
      <c r="AH19" s="56">
        <f>INDEX(C6:Z30,MATCH(12,AF6:AF30,0),24)</f>
        <v>-206</v>
      </c>
      <c r="AI19" s="79"/>
    </row>
    <row r="20" spans="2:35" x14ac:dyDescent="0.2">
      <c r="B20" s="119">
        <v>15</v>
      </c>
      <c r="C20" s="82" t="s">
        <v>14</v>
      </c>
      <c r="D20" s="146">
        <v>1044</v>
      </c>
      <c r="E20" s="147">
        <v>1076</v>
      </c>
      <c r="F20" s="104">
        <f t="shared" si="0"/>
        <v>-32</v>
      </c>
      <c r="G20" s="73"/>
      <c r="H20" s="57">
        <v>268</v>
      </c>
      <c r="I20" s="56">
        <v>365</v>
      </c>
      <c r="J20" s="68">
        <f t="shared" si="1"/>
        <v>-97</v>
      </c>
      <c r="K20" s="76"/>
      <c r="L20" s="57">
        <v>245</v>
      </c>
      <c r="M20" s="56">
        <v>241</v>
      </c>
      <c r="N20" s="68">
        <f t="shared" si="2"/>
        <v>4</v>
      </c>
      <c r="O20" s="76"/>
      <c r="P20" s="62">
        <f>F20+J20+N20</f>
        <v>-125</v>
      </c>
      <c r="Q20" s="78"/>
      <c r="R20" s="127">
        <v>3397</v>
      </c>
      <c r="S20" s="138">
        <v>3161</v>
      </c>
      <c r="T20" s="56">
        <f t="shared" si="3"/>
        <v>-236</v>
      </c>
      <c r="U20" s="50"/>
      <c r="V20" s="127">
        <v>3337</v>
      </c>
      <c r="W20" s="109">
        <v>3277</v>
      </c>
      <c r="X20" s="68">
        <f t="shared" si="4"/>
        <v>-60</v>
      </c>
      <c r="Y20" s="79"/>
      <c r="Z20" s="62">
        <f t="shared" si="5"/>
        <v>-296</v>
      </c>
      <c r="AB20" s="62">
        <f>RANK(P20,$P$6:$P$30,1)+COUNTIF($P$6:P20,P20)-1</f>
        <v>1</v>
      </c>
      <c r="AC20" s="65" t="str">
        <f>INDEX(C6:P30,MATCH(11,AB6:AB30,0),1)</f>
        <v>rzeszowski</v>
      </c>
      <c r="AD20" s="56">
        <f>INDEX(C6:P30,MATCH(11,AB6:AB30,0),14)</f>
        <v>-33</v>
      </c>
      <c r="AE20" s="116"/>
      <c r="AF20" s="62">
        <f>RANK(Z20,$Z$6:$Z$30,1)+COUNTIF($Z$6:Z20,Z20)-1</f>
        <v>9</v>
      </c>
      <c r="AG20" s="65" t="str">
        <f>INDEX(C6:Z30,MATCH(11,AF6:AF30,0),1)</f>
        <v>rzeszowski</v>
      </c>
      <c r="AH20" s="56">
        <f>INDEX(C6:Z30,MATCH(11,AF6:AF30,0),24)</f>
        <v>-280</v>
      </c>
      <c r="AI20" s="79"/>
    </row>
    <row r="21" spans="2:35" ht="12" customHeight="1" x14ac:dyDescent="0.2">
      <c r="B21" s="119">
        <v>16</v>
      </c>
      <c r="C21" s="82" t="s">
        <v>15</v>
      </c>
      <c r="D21" s="146">
        <v>949</v>
      </c>
      <c r="E21" s="147">
        <v>905</v>
      </c>
      <c r="F21" s="104">
        <f t="shared" si="0"/>
        <v>44</v>
      </c>
      <c r="G21" s="73"/>
      <c r="H21" s="57">
        <v>155</v>
      </c>
      <c r="I21" s="56">
        <v>211</v>
      </c>
      <c r="J21" s="68">
        <f t="shared" si="1"/>
        <v>-56</v>
      </c>
      <c r="K21" s="76"/>
      <c r="L21" s="57">
        <v>118</v>
      </c>
      <c r="M21" s="56">
        <v>132</v>
      </c>
      <c r="N21" s="68">
        <f t="shared" si="2"/>
        <v>-14</v>
      </c>
      <c r="O21" s="76"/>
      <c r="P21" s="62">
        <f t="shared" si="6"/>
        <v>-26</v>
      </c>
      <c r="Q21" s="78"/>
      <c r="R21" s="127">
        <v>2551</v>
      </c>
      <c r="S21" s="138">
        <v>2556</v>
      </c>
      <c r="T21" s="56">
        <f t="shared" si="3"/>
        <v>5</v>
      </c>
      <c r="U21" s="50"/>
      <c r="V21" s="127">
        <v>2673</v>
      </c>
      <c r="W21" s="109">
        <v>2631</v>
      </c>
      <c r="X21" s="68">
        <f t="shared" si="4"/>
        <v>-42</v>
      </c>
      <c r="Y21" s="79"/>
      <c r="Z21" s="62">
        <f t="shared" si="5"/>
        <v>-37</v>
      </c>
      <c r="AB21" s="62">
        <f>RANK(P21,$P$6:$P$30,1)+COUNTIF($P$6:P21,P21)-1</f>
        <v>13</v>
      </c>
      <c r="AC21" s="65" t="str">
        <f>INDEX(C6:P30,MATCH(10,AB6:AB30,0),1)</f>
        <v>Rzeszów</v>
      </c>
      <c r="AD21" s="56">
        <f>INDEX(C6:P30,MATCH(10,AB6:AB30,0),14)</f>
        <v>-36</v>
      </c>
      <c r="AE21" s="116"/>
      <c r="AF21" s="62">
        <f>RANK(Z21,$Z$6:$Z$30,1)+COUNTIF($Z$6:Z21,Z21)-1</f>
        <v>21</v>
      </c>
      <c r="AG21" s="65" t="str">
        <f>INDEX(C6:Z30,MATCH(10,AF6:AF30,0),1)</f>
        <v>strzyżowski</v>
      </c>
      <c r="AH21" s="56">
        <f>INDEX(C6:Z30,MATCH(10,AF6:AF30,0),24)</f>
        <v>-295</v>
      </c>
      <c r="AI21" s="79"/>
    </row>
    <row r="22" spans="2:35" x14ac:dyDescent="0.2">
      <c r="B22" s="119">
        <v>17</v>
      </c>
      <c r="C22" s="82" t="s">
        <v>16</v>
      </c>
      <c r="D22" s="146">
        <v>1464</v>
      </c>
      <c r="E22" s="147">
        <v>1491</v>
      </c>
      <c r="F22" s="104">
        <f t="shared" si="0"/>
        <v>-27</v>
      </c>
      <c r="G22" s="73"/>
      <c r="H22" s="57">
        <v>308</v>
      </c>
      <c r="I22" s="56">
        <v>292</v>
      </c>
      <c r="J22" s="68">
        <f t="shared" si="1"/>
        <v>16</v>
      </c>
      <c r="K22" s="76"/>
      <c r="L22" s="57">
        <v>113</v>
      </c>
      <c r="M22" s="56">
        <v>135</v>
      </c>
      <c r="N22" s="68">
        <f t="shared" si="2"/>
        <v>-22</v>
      </c>
      <c r="O22" s="76"/>
      <c r="P22" s="62">
        <f t="shared" si="6"/>
        <v>-33</v>
      </c>
      <c r="Q22" s="78"/>
      <c r="R22" s="127">
        <v>4670</v>
      </c>
      <c r="S22" s="138">
        <v>4423</v>
      </c>
      <c r="T22" s="56">
        <f t="shared" si="3"/>
        <v>-247</v>
      </c>
      <c r="U22" s="50"/>
      <c r="V22" s="127">
        <v>4540</v>
      </c>
      <c r="W22" s="109">
        <v>4507</v>
      </c>
      <c r="X22" s="68">
        <f t="shared" si="4"/>
        <v>-33</v>
      </c>
      <c r="Y22" s="79"/>
      <c r="Z22" s="62">
        <f t="shared" si="5"/>
        <v>-280</v>
      </c>
      <c r="AB22" s="62">
        <f>RANK(P22,$P$6:$P$30,1)+COUNTIF($P$6:P22,P22)-1</f>
        <v>11</v>
      </c>
      <c r="AC22" s="65" t="str">
        <f>INDEX(C6:P30,MATCH(9,AB6:AB30,0),1)</f>
        <v>Przemyśl</v>
      </c>
      <c r="AD22" s="56">
        <f>INDEX(C6:P30,MATCH(9,AB6:AB30,0),14)</f>
        <v>-39</v>
      </c>
      <c r="AE22" s="116"/>
      <c r="AF22" s="62">
        <f>RANK(Z22,$Z$6:$Z$30,1)+COUNTIF($Z$6:Z22,Z22)-1</f>
        <v>11</v>
      </c>
      <c r="AG22" s="157" t="str">
        <f>INDEX(C6:Z30,MATCH(9,AF6:AF30,0),1)</f>
        <v>przeworski</v>
      </c>
      <c r="AH22" s="56">
        <f>INDEX(C6:Z30,MATCH(9,AF6:AF30,0),24)</f>
        <v>-296</v>
      </c>
      <c r="AI22" s="79"/>
    </row>
    <row r="23" spans="2:35" x14ac:dyDescent="0.2">
      <c r="B23" s="119">
        <v>18</v>
      </c>
      <c r="C23" s="82" t="s">
        <v>17</v>
      </c>
      <c r="D23" s="146">
        <v>1044</v>
      </c>
      <c r="E23" s="147">
        <v>918</v>
      </c>
      <c r="F23" s="104">
        <f t="shared" si="0"/>
        <v>126</v>
      </c>
      <c r="G23" s="73"/>
      <c r="H23" s="57">
        <v>233</v>
      </c>
      <c r="I23" s="56">
        <v>212</v>
      </c>
      <c r="J23" s="68">
        <f t="shared" si="1"/>
        <v>21</v>
      </c>
      <c r="K23" s="76"/>
      <c r="L23" s="57">
        <v>57</v>
      </c>
      <c r="M23" s="56">
        <v>79</v>
      </c>
      <c r="N23" s="68">
        <f t="shared" si="2"/>
        <v>-22</v>
      </c>
      <c r="O23" s="76"/>
      <c r="P23" s="62">
        <f t="shared" si="6"/>
        <v>125</v>
      </c>
      <c r="Q23" s="78"/>
      <c r="R23" s="127">
        <v>2737</v>
      </c>
      <c r="S23" s="138">
        <v>2659</v>
      </c>
      <c r="T23" s="56">
        <f t="shared" si="3"/>
        <v>-78</v>
      </c>
      <c r="U23" s="50"/>
      <c r="V23" s="127">
        <v>2881</v>
      </c>
      <c r="W23" s="109">
        <v>2839</v>
      </c>
      <c r="X23" s="68">
        <f t="shared" si="4"/>
        <v>-42</v>
      </c>
      <c r="Y23" s="79"/>
      <c r="Z23" s="62">
        <f t="shared" si="5"/>
        <v>-120</v>
      </c>
      <c r="AB23" s="62">
        <f>RANK(P23,$P$6:$P$30,1)+COUNTIF($P$6:P23,P23)-1</f>
        <v>24</v>
      </c>
      <c r="AC23" s="65" t="str">
        <f>INDEX(C6:P30,MATCH(8,AB6:AB30,0),1)</f>
        <v>lubaczowski</v>
      </c>
      <c r="AD23" s="56">
        <f>INDEX(C6:P30,MATCH(8,AB6:AB30,0),14)</f>
        <v>-45</v>
      </c>
      <c r="AE23" s="116"/>
      <c r="AF23" s="62">
        <f>RANK(Z23,$Z$6:$Z$30,1)+COUNTIF($Z$6:Z23,Z23)-1</f>
        <v>15</v>
      </c>
      <c r="AG23" s="65" t="str">
        <f>INDEX(C6:Z30,MATCH(8,AF6:AF30,0),1)</f>
        <v>łańcucki</v>
      </c>
      <c r="AH23" s="56">
        <f>INDEX(C6:Z30,MATCH(8,AF6:AF30,0),24)</f>
        <v>-342</v>
      </c>
      <c r="AI23" s="79"/>
    </row>
    <row r="24" spans="2:35" x14ac:dyDescent="0.2">
      <c r="B24" s="119">
        <v>19</v>
      </c>
      <c r="C24" s="82" t="s">
        <v>18</v>
      </c>
      <c r="D24" s="146">
        <v>800</v>
      </c>
      <c r="E24" s="147">
        <v>832</v>
      </c>
      <c r="F24" s="104">
        <f t="shared" si="0"/>
        <v>-32</v>
      </c>
      <c r="G24" s="73"/>
      <c r="H24" s="57">
        <v>179</v>
      </c>
      <c r="I24" s="56">
        <v>167</v>
      </c>
      <c r="J24" s="68">
        <f t="shared" si="1"/>
        <v>12</v>
      </c>
      <c r="K24" s="76"/>
      <c r="L24" s="57">
        <v>141</v>
      </c>
      <c r="M24" s="56">
        <v>133</v>
      </c>
      <c r="N24" s="68">
        <f>L24-M24</f>
        <v>8</v>
      </c>
      <c r="O24" s="76"/>
      <c r="P24" s="62">
        <f t="shared" si="6"/>
        <v>-12</v>
      </c>
      <c r="Q24" s="78"/>
      <c r="R24" s="127">
        <v>1943</v>
      </c>
      <c r="S24" s="138">
        <v>1860</v>
      </c>
      <c r="T24" s="56">
        <f t="shared" si="3"/>
        <v>-83</v>
      </c>
      <c r="U24" s="50"/>
      <c r="V24" s="127">
        <v>2098</v>
      </c>
      <c r="W24" s="109">
        <v>2211</v>
      </c>
      <c r="X24" s="68">
        <f t="shared" si="4"/>
        <v>113</v>
      </c>
      <c r="Y24" s="79"/>
      <c r="Z24" s="62">
        <f t="shared" si="5"/>
        <v>30</v>
      </c>
      <c r="AB24" s="62">
        <f>RANK(P24,$P$6:$P$30,1)+COUNTIF($P$6:P24,P24)-1</f>
        <v>15</v>
      </c>
      <c r="AC24" s="65" t="str">
        <f>INDEX(C6:P30,MATCH(7,AB6:AB30,0),1)</f>
        <v>przemyski</v>
      </c>
      <c r="AD24" s="56">
        <f>INDEX(C6:P30,MATCH(7,AB6:AB30,0),14)</f>
        <v>-52</v>
      </c>
      <c r="AE24" s="116"/>
      <c r="AF24" s="62">
        <f>RANK(Z24,$Z$6:$Z$30,1)+COUNTIF($Z$6:Z24,Z24)-1</f>
        <v>24</v>
      </c>
      <c r="AG24" s="65" t="str">
        <f>INDEX(C6:Z30,MATCH(7,AF6:AF30,0),1)</f>
        <v>niżański</v>
      </c>
      <c r="AH24" s="56">
        <f>INDEX(C6:Z30,MATCH(7,AF6:AF30,0),24)</f>
        <v>-374</v>
      </c>
      <c r="AI24" s="79"/>
    </row>
    <row r="25" spans="2:35" x14ac:dyDescent="0.2">
      <c r="B25" s="119">
        <v>20</v>
      </c>
      <c r="C25" s="82" t="s">
        <v>19</v>
      </c>
      <c r="D25" s="146">
        <v>821</v>
      </c>
      <c r="E25" s="147">
        <v>993</v>
      </c>
      <c r="F25" s="104">
        <f t="shared" si="0"/>
        <v>-172</v>
      </c>
      <c r="G25" s="73"/>
      <c r="H25" s="57">
        <v>284</v>
      </c>
      <c r="I25" s="56">
        <v>261</v>
      </c>
      <c r="J25" s="68">
        <f t="shared" si="1"/>
        <v>23</v>
      </c>
      <c r="K25" s="76"/>
      <c r="L25" s="57">
        <v>259</v>
      </c>
      <c r="M25" s="56">
        <v>140</v>
      </c>
      <c r="N25" s="68">
        <f t="shared" si="2"/>
        <v>119</v>
      </c>
      <c r="O25" s="76"/>
      <c r="P25" s="62">
        <f t="shared" si="6"/>
        <v>-30</v>
      </c>
      <c r="Q25" s="78"/>
      <c r="R25" s="127">
        <v>3125</v>
      </c>
      <c r="S25" s="138">
        <v>3008</v>
      </c>
      <c r="T25" s="56">
        <f t="shared" si="3"/>
        <v>-117</v>
      </c>
      <c r="U25" s="50"/>
      <c r="V25" s="127">
        <v>3113</v>
      </c>
      <c r="W25" s="109">
        <v>2935</v>
      </c>
      <c r="X25" s="68">
        <f t="shared" si="4"/>
        <v>-178</v>
      </c>
      <c r="Y25" s="79"/>
      <c r="Z25" s="62">
        <f t="shared" si="5"/>
        <v>-295</v>
      </c>
      <c r="AB25" s="62">
        <f>RANK(P25,$P$6:$P$30,1)+COUNTIF($P$6:P25,P25)-1</f>
        <v>12</v>
      </c>
      <c r="AC25" s="65" t="str">
        <f>INDEX(C6:P30,MATCH(6,AB6:AB30,0),1)</f>
        <v>mielecki</v>
      </c>
      <c r="AD25" s="56">
        <f>INDEX(C6:P30,MATCH(6,AB6:AB30,0),14)</f>
        <v>-58</v>
      </c>
      <c r="AE25" s="116"/>
      <c r="AF25" s="62">
        <f>RANK(Z25,$Z$6:$Z$30,1)+COUNTIF($Z$6:Z25,Z25)-1</f>
        <v>10</v>
      </c>
      <c r="AG25" s="179" t="str">
        <f>INDEX(C6:Z30,MATCH(6,AF6:AF30,0),1)</f>
        <v>przemyski</v>
      </c>
      <c r="AH25" s="56">
        <f>INDEX(C6:Z30,MATCH(6,AF6:AF30,0),24)</f>
        <v>-376</v>
      </c>
      <c r="AI25" s="79"/>
    </row>
    <row r="26" spans="2:35" ht="12" thickBot="1" x14ac:dyDescent="0.25">
      <c r="B26" s="119">
        <v>21</v>
      </c>
      <c r="C26" s="83" t="s">
        <v>50</v>
      </c>
      <c r="D26" s="148">
        <v>482</v>
      </c>
      <c r="E26" s="149">
        <v>444</v>
      </c>
      <c r="F26" s="105">
        <f t="shared" si="0"/>
        <v>38</v>
      </c>
      <c r="G26" s="73"/>
      <c r="H26" s="60">
        <v>159</v>
      </c>
      <c r="I26" s="58">
        <v>183</v>
      </c>
      <c r="J26" s="70">
        <f t="shared" si="1"/>
        <v>-24</v>
      </c>
      <c r="K26" s="76"/>
      <c r="L26" s="60">
        <v>57</v>
      </c>
      <c r="M26" s="58">
        <v>52</v>
      </c>
      <c r="N26" s="70">
        <f t="shared" si="2"/>
        <v>5</v>
      </c>
      <c r="O26" s="76"/>
      <c r="P26" s="86">
        <f t="shared" si="6"/>
        <v>19</v>
      </c>
      <c r="Q26" s="78"/>
      <c r="R26" s="128">
        <v>1251</v>
      </c>
      <c r="S26" s="139">
        <v>1196</v>
      </c>
      <c r="T26" s="59">
        <f t="shared" si="3"/>
        <v>-55</v>
      </c>
      <c r="U26" s="50"/>
      <c r="V26" s="128">
        <v>1243</v>
      </c>
      <c r="W26" s="111">
        <v>1234</v>
      </c>
      <c r="X26" s="69">
        <f t="shared" si="4"/>
        <v>-9</v>
      </c>
      <c r="Y26" s="79"/>
      <c r="Z26" s="86">
        <f t="shared" si="5"/>
        <v>-64</v>
      </c>
      <c r="AB26" s="114">
        <f>RANK(P26,$P$6:$P$30,1)+COUNTIF($P$6:P26,P26)-1</f>
        <v>17</v>
      </c>
      <c r="AC26" s="87" t="str">
        <f>INDEX(C6:P30,MATCH(5,AB6:AB30,0),1)</f>
        <v>Krosno</v>
      </c>
      <c r="AD26" s="59">
        <f>INDEX(C6:P30,MATCH(5,AB6:AB30,0),14)</f>
        <v>-61</v>
      </c>
      <c r="AE26" s="116"/>
      <c r="AF26" s="114">
        <f>RANK(Z26,$Z$6:$Z$30,1)+COUNTIF($Z$6:Z26,Z26)-1</f>
        <v>19</v>
      </c>
      <c r="AG26" s="160" t="str">
        <f>INDEX(C6:Z30,MATCH(5,AF6:AF30,0),1)</f>
        <v>leski</v>
      </c>
      <c r="AH26" s="161">
        <f>INDEX(C6:Z30,MATCH(5,AF6:AF30,0),24)</f>
        <v>-389</v>
      </c>
      <c r="AI26" s="79"/>
    </row>
    <row r="27" spans="2:35" x14ac:dyDescent="0.2">
      <c r="B27" s="119">
        <v>22</v>
      </c>
      <c r="C27" s="84" t="s">
        <v>21</v>
      </c>
      <c r="D27" s="146">
        <v>313</v>
      </c>
      <c r="E27" s="150">
        <v>356</v>
      </c>
      <c r="F27" s="106">
        <f t="shared" si="0"/>
        <v>-43</v>
      </c>
      <c r="G27" s="74"/>
      <c r="H27" s="57">
        <v>53</v>
      </c>
      <c r="I27" s="56">
        <v>70</v>
      </c>
      <c r="J27" s="68">
        <f t="shared" si="1"/>
        <v>-17</v>
      </c>
      <c r="K27" s="76"/>
      <c r="L27" s="57">
        <v>35</v>
      </c>
      <c r="M27" s="56">
        <v>36</v>
      </c>
      <c r="N27" s="68">
        <f t="shared" si="2"/>
        <v>-1</v>
      </c>
      <c r="O27" s="76"/>
      <c r="P27" s="62">
        <f t="shared" si="6"/>
        <v>-61</v>
      </c>
      <c r="Q27" s="78"/>
      <c r="R27" s="127">
        <v>790</v>
      </c>
      <c r="S27" s="56">
        <v>767</v>
      </c>
      <c r="T27" s="54">
        <f t="shared" si="3"/>
        <v>-23</v>
      </c>
      <c r="U27" s="50"/>
      <c r="V27" s="127">
        <v>814</v>
      </c>
      <c r="W27" s="109">
        <v>887</v>
      </c>
      <c r="X27" s="108">
        <f t="shared" si="4"/>
        <v>73</v>
      </c>
      <c r="Y27" s="78"/>
      <c r="Z27" s="62">
        <f t="shared" si="5"/>
        <v>50</v>
      </c>
      <c r="AB27" s="61">
        <f>RANK(P27,$P$6:$P$30,1)+COUNTIF($P$6:P27,P27)-1</f>
        <v>5</v>
      </c>
      <c r="AC27" s="64" t="str">
        <f>INDEX(C6:P30,MATCH(4,AB6:AB30,0),1)</f>
        <v>brzozowski</v>
      </c>
      <c r="AD27" s="54">
        <f>INDEX(C6:P30,MATCH(4,AB6:AB30,0),14)</f>
        <v>-66</v>
      </c>
      <c r="AE27" s="116"/>
      <c r="AF27" s="61">
        <f>RANK(Z27,$Z$6:$Z$30,1)+COUNTIF($Z$6:Z27,Z27)-1</f>
        <v>25</v>
      </c>
      <c r="AG27" s="64" t="str">
        <f>INDEX(C6:Z30,MATCH(4,AF6:AF30,0),1)</f>
        <v>leżajski</v>
      </c>
      <c r="AH27" s="54">
        <f>INDEX(C6:Z30,MATCH(4,AF6:AF30,0),24)</f>
        <v>-431</v>
      </c>
      <c r="AI27" s="79"/>
    </row>
    <row r="28" spans="2:35" x14ac:dyDescent="0.2">
      <c r="B28" s="119">
        <v>23</v>
      </c>
      <c r="C28" s="84" t="s">
        <v>22</v>
      </c>
      <c r="D28" s="146">
        <v>548</v>
      </c>
      <c r="E28" s="150">
        <v>518</v>
      </c>
      <c r="F28" s="106">
        <f t="shared" si="0"/>
        <v>30</v>
      </c>
      <c r="G28" s="74"/>
      <c r="H28" s="57">
        <v>158</v>
      </c>
      <c r="I28" s="56">
        <v>222</v>
      </c>
      <c r="J28" s="68">
        <f t="shared" si="1"/>
        <v>-64</v>
      </c>
      <c r="K28" s="76"/>
      <c r="L28" s="57">
        <v>34</v>
      </c>
      <c r="M28" s="56">
        <v>39</v>
      </c>
      <c r="N28" s="68">
        <f t="shared" si="2"/>
        <v>-5</v>
      </c>
      <c r="O28" s="76"/>
      <c r="P28" s="62">
        <f t="shared" si="6"/>
        <v>-39</v>
      </c>
      <c r="Q28" s="78"/>
      <c r="R28" s="127">
        <v>2346</v>
      </c>
      <c r="S28" s="138">
        <v>2240</v>
      </c>
      <c r="T28" s="56">
        <f t="shared" si="3"/>
        <v>-106</v>
      </c>
      <c r="U28" s="50"/>
      <c r="V28" s="127">
        <v>2338</v>
      </c>
      <c r="W28" s="109">
        <v>2355</v>
      </c>
      <c r="X28" s="68">
        <f t="shared" si="4"/>
        <v>17</v>
      </c>
      <c r="Y28" s="79"/>
      <c r="Z28" s="62">
        <f t="shared" si="5"/>
        <v>-89</v>
      </c>
      <c r="AB28" s="62">
        <f>RANK(P28,$P$6:$P$30,1)+COUNTIF($P$6:P28,P28)-1</f>
        <v>9</v>
      </c>
      <c r="AC28" s="65" t="str">
        <f>INDEX(C6:P30,MATCH(3,AB6:AB30,0),1)</f>
        <v>Tarnobrzeg</v>
      </c>
      <c r="AD28" s="56">
        <f>INDEX(C6:P30,MATCH(3,AB6:AB30,0),14)</f>
        <v>-84</v>
      </c>
      <c r="AE28" s="116"/>
      <c r="AF28" s="62">
        <f>RANK(Z28,$Z$6:$Z$30,1)+COUNTIF($Z$6:Z28,Z28)-1</f>
        <v>17</v>
      </c>
      <c r="AG28" s="65" t="str">
        <f>INDEX(C6:Z30,MATCH(3,AF6:AF30,0),1)</f>
        <v>lubaczowski</v>
      </c>
      <c r="AH28" s="56">
        <f>INDEX(C6:Z30,MATCH(3,AF6:AF30,0),24)</f>
        <v>-457</v>
      </c>
      <c r="AI28" s="79"/>
    </row>
    <row r="29" spans="2:35" x14ac:dyDescent="0.2">
      <c r="B29" s="119">
        <v>24</v>
      </c>
      <c r="C29" s="84" t="s">
        <v>23</v>
      </c>
      <c r="D29" s="146">
        <v>1646</v>
      </c>
      <c r="E29" s="150">
        <v>1602</v>
      </c>
      <c r="F29" s="106">
        <f t="shared" si="0"/>
        <v>44</v>
      </c>
      <c r="G29" s="74"/>
      <c r="H29" s="57">
        <v>271</v>
      </c>
      <c r="I29" s="56">
        <v>321</v>
      </c>
      <c r="J29" s="68">
        <f t="shared" si="1"/>
        <v>-50</v>
      </c>
      <c r="K29" s="76"/>
      <c r="L29" s="57">
        <v>120</v>
      </c>
      <c r="M29" s="56">
        <v>150</v>
      </c>
      <c r="N29" s="68">
        <f t="shared" si="2"/>
        <v>-30</v>
      </c>
      <c r="O29" s="76"/>
      <c r="P29" s="62">
        <f t="shared" si="6"/>
        <v>-36</v>
      </c>
      <c r="Q29" s="78"/>
      <c r="R29" s="127">
        <v>5033</v>
      </c>
      <c r="S29" s="138">
        <v>4933</v>
      </c>
      <c r="T29" s="56">
        <f t="shared" si="3"/>
        <v>-100</v>
      </c>
      <c r="U29" s="50"/>
      <c r="V29" s="127">
        <v>4957</v>
      </c>
      <c r="W29" s="109">
        <v>5083</v>
      </c>
      <c r="X29" s="68">
        <f t="shared" si="4"/>
        <v>126</v>
      </c>
      <c r="Y29" s="79"/>
      <c r="Z29" s="62">
        <f t="shared" si="5"/>
        <v>26</v>
      </c>
      <c r="AB29" s="62">
        <f>RANK(P29,$P$6:$P$30,1)+COUNTIF($P$6:P29,P29)-1</f>
        <v>10</v>
      </c>
      <c r="AC29" s="179" t="str">
        <f>INDEX(C6:P30,MATCH(2,AB6:AB30,0),1)</f>
        <v>jasielski</v>
      </c>
      <c r="AD29" s="180">
        <f>INDEX(C6:P30,MATCH(2,AB6:AB30,0),14)</f>
        <v>-115</v>
      </c>
      <c r="AE29" s="116"/>
      <c r="AF29" s="62">
        <f>RANK(Z29,$Z$6:$Z$30,1)+COUNTIF($Z$6:Z29,Z29)-1</f>
        <v>23</v>
      </c>
      <c r="AG29" s="65" t="str">
        <f>INDEX(C6:Z30,MATCH(2,AF6:AF30,0),1)</f>
        <v>jasielski</v>
      </c>
      <c r="AH29" s="56">
        <f>INDEX(C6:Z30,MATCH(2,AF6:AF30,0),24)</f>
        <v>-683</v>
      </c>
      <c r="AI29" s="79"/>
    </row>
    <row r="30" spans="2:35" ht="12" thickBot="1" x14ac:dyDescent="0.25">
      <c r="B30" s="119">
        <v>25</v>
      </c>
      <c r="C30" s="85" t="s">
        <v>24</v>
      </c>
      <c r="D30" s="148">
        <v>352</v>
      </c>
      <c r="E30" s="151">
        <v>411</v>
      </c>
      <c r="F30" s="107">
        <f t="shared" si="0"/>
        <v>-59</v>
      </c>
      <c r="G30" s="74"/>
      <c r="H30" s="60">
        <v>92</v>
      </c>
      <c r="I30" s="58">
        <v>116</v>
      </c>
      <c r="J30" s="70">
        <f t="shared" si="1"/>
        <v>-24</v>
      </c>
      <c r="K30" s="76"/>
      <c r="L30" s="60">
        <v>74</v>
      </c>
      <c r="M30" s="58">
        <v>75</v>
      </c>
      <c r="N30" s="70">
        <f t="shared" si="2"/>
        <v>-1</v>
      </c>
      <c r="O30" s="76"/>
      <c r="P30" s="86">
        <f t="shared" si="6"/>
        <v>-84</v>
      </c>
      <c r="Q30" s="78"/>
      <c r="R30" s="128">
        <v>1065</v>
      </c>
      <c r="S30" s="139">
        <v>1034</v>
      </c>
      <c r="T30" s="58">
        <f t="shared" si="3"/>
        <v>-31</v>
      </c>
      <c r="U30" s="50"/>
      <c r="V30" s="128">
        <v>999</v>
      </c>
      <c r="W30" s="111">
        <v>1035</v>
      </c>
      <c r="X30" s="70">
        <f t="shared" si="4"/>
        <v>36</v>
      </c>
      <c r="Y30" s="79"/>
      <c r="Z30" s="86">
        <f t="shared" si="5"/>
        <v>5</v>
      </c>
      <c r="AB30" s="86">
        <f>RANK(P30,$P$6:$P$30,1)+COUNTIF($P$6:P30,P30)-1</f>
        <v>3</v>
      </c>
      <c r="AC30" s="181" t="str">
        <f>INDEX(C6:P30,MATCH(1,AB6:AB30,0),1)</f>
        <v>przeworski</v>
      </c>
      <c r="AD30" s="182">
        <f>INDEX(C6:P30,MATCH(1,AB6:AB30,0),14)</f>
        <v>-125</v>
      </c>
      <c r="AE30" s="116"/>
      <c r="AF30" s="86">
        <f>RANK(Z30,$Z$6:$Z$30,1)+COUNTIF($Z$6:Z30,Z30)-1</f>
        <v>22</v>
      </c>
      <c r="AG30" s="66" t="str">
        <f>INDEX(C6:Z30,MATCH(1,AF6:AF30,0),1)</f>
        <v>brzozowski</v>
      </c>
      <c r="AH30" s="58">
        <f>INDEX(C6:Z30,MATCH(1,AF6:AF30,0),24)</f>
        <v>-771</v>
      </c>
      <c r="AI30" s="79"/>
    </row>
    <row r="31" spans="2:35" ht="12" thickBot="1" x14ac:dyDescent="0.25">
      <c r="C31" s="88" t="s">
        <v>51</v>
      </c>
      <c r="D31" s="152">
        <f>SUM(D6:D30)</f>
        <v>21370</v>
      </c>
      <c r="E31" s="153">
        <f>SUM(E6:E30)</f>
        <v>21136</v>
      </c>
      <c r="F31" s="93">
        <f t="shared" si="0"/>
        <v>234</v>
      </c>
      <c r="G31" s="76"/>
      <c r="H31" s="90">
        <f t="shared" ref="H31:R31" si="7">SUM(H6:H30)</f>
        <v>5334</v>
      </c>
      <c r="I31" s="89">
        <f t="shared" si="7"/>
        <v>5801</v>
      </c>
      <c r="J31" s="93">
        <f t="shared" si="1"/>
        <v>-467</v>
      </c>
      <c r="K31" s="76"/>
      <c r="L31" s="90">
        <f t="shared" si="7"/>
        <v>3150</v>
      </c>
      <c r="M31" s="89">
        <f>SUM(M6:M30)</f>
        <v>3155</v>
      </c>
      <c r="N31" s="93">
        <f t="shared" si="2"/>
        <v>-5</v>
      </c>
      <c r="O31" s="76"/>
      <c r="P31" s="91">
        <f t="shared" si="7"/>
        <v>-238</v>
      </c>
      <c r="Q31" s="79"/>
      <c r="R31" s="129">
        <f t="shared" si="7"/>
        <v>67653</v>
      </c>
      <c r="S31" s="89">
        <f>SUM(S6:S30)</f>
        <v>63814</v>
      </c>
      <c r="T31" s="92">
        <f>SUM(T6:T30)</f>
        <v>-3839</v>
      </c>
      <c r="U31" s="50"/>
      <c r="V31" s="129">
        <f>SUM(V6:V30)</f>
        <v>67336</v>
      </c>
      <c r="W31" s="112">
        <f>SUM(W6:W30)</f>
        <v>65487</v>
      </c>
      <c r="X31" s="112">
        <f>SUM(W31-V31)</f>
        <v>-1849</v>
      </c>
      <c r="Y31" s="78"/>
      <c r="Z31" s="91">
        <f t="shared" si="5"/>
        <v>-5688</v>
      </c>
      <c r="AB31" s="113"/>
      <c r="AC31" s="113"/>
      <c r="AD31" s="113"/>
      <c r="AE31" s="79"/>
      <c r="AF31" s="113"/>
      <c r="AG31" s="113"/>
      <c r="AH31" s="113"/>
      <c r="AI31" s="79"/>
    </row>
    <row r="32" spans="2:35" x14ac:dyDescent="0.2">
      <c r="Q32" s="80"/>
    </row>
  </sheetData>
  <pageMargins left="0" right="0" top="0" bottom="0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1bzr.</vt:lpstr>
      <vt:lpstr>1sort</vt:lpstr>
      <vt:lpstr>2kob.</vt:lpstr>
      <vt:lpstr>2sort</vt:lpstr>
      <vt:lpstr>3bezr. na wsi</vt:lpstr>
      <vt:lpstr>3sort</vt:lpstr>
      <vt:lpstr>4długot.</vt:lpstr>
      <vt:lpstr>4sort</vt:lpstr>
      <vt:lpstr>5do 30 r.ż.</vt:lpstr>
      <vt:lpstr>5sort</vt:lpstr>
      <vt:lpstr>6pow. 50 r.ż.</vt:lpstr>
      <vt:lpstr>6sort</vt:lpstr>
      <vt:lpstr>7oferty p.</vt:lpstr>
      <vt:lpstr>7sort</vt:lpstr>
      <vt:lpstr>8oferty s.</vt:lpstr>
      <vt:lpstr>8sort</vt:lpstr>
      <vt:lpstr>9of st. k.</vt:lpstr>
      <vt:lpstr>9sort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Anna Cichoń</cp:lastModifiedBy>
  <cp:lastPrinted>2025-07-16T09:00:56Z</cp:lastPrinted>
  <dcterms:created xsi:type="dcterms:W3CDTF">2016-08-02T05:46:03Z</dcterms:created>
  <dcterms:modified xsi:type="dcterms:W3CDTF">2025-07-21T07:59:46Z</dcterms:modified>
</cp:coreProperties>
</file>